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C:\Users\Lucia Bravo\Desktop\TABLEROS DE CONTROL\2020\"/>
    </mc:Choice>
  </mc:AlternateContent>
  <xr:revisionPtr revIDLastSave="0" documentId="8_{DEFAFF11-5A56-4A44-B1A2-81447098E92D}" xr6:coauthVersionLast="46" xr6:coauthVersionMax="46" xr10:uidLastSave="{00000000-0000-0000-0000-000000000000}"/>
  <bookViews>
    <workbookView xWindow="-120" yWindow="-120" windowWidth="29040" windowHeight="15840" tabRatio="836" firstSheet="2" activeTab="2" xr2:uid="{00000000-000D-0000-FFFF-FFFF00000000}"/>
  </bookViews>
  <sheets>
    <sheet name="Menú" sheetId="46" r:id="rId1"/>
    <sheet name="Lista de indicadores" sheetId="45" r:id="rId2"/>
    <sheet name="Introducción de datos" sheetId="29" r:id="rId3"/>
    <sheet name="Información de la subvención" sheetId="27" r:id="rId4"/>
    <sheet name="Financiamiento" sheetId="30" r:id="rId5"/>
    <sheet name="Gestión" sheetId="35" r:id="rId6"/>
    <sheet name="Programatico" sheetId="37" r:id="rId7"/>
    <sheet name="Recomendaciones" sheetId="42" r:id="rId8"/>
    <sheet name="Acciones" sheetId="39" r:id="rId9"/>
    <sheet name="Setup" sheetId="32" state="hidden" r:id="rId10"/>
  </sheets>
  <externalReferences>
    <externalReference r:id="rId11"/>
  </externalReferences>
  <definedNames>
    <definedName name="Afganistán" localSheetId="0">Menú!Countries</definedName>
    <definedName name="Afganistán">Countries</definedName>
    <definedName name="_xlnm.Print_Area" localSheetId="8">Acciones!$A$1:$L$43</definedName>
    <definedName name="_xlnm.Print_Area" localSheetId="4">Financiamiento!$A$2:$L$31</definedName>
    <definedName name="_xlnm.Print_Area" localSheetId="5">Gestión!$A$1:$L$34</definedName>
    <definedName name="_xlnm.Print_Area" localSheetId="3">'Información de la subvención'!$A$1:$K$15</definedName>
    <definedName name="_xlnm.Print_Area" localSheetId="2">'Introducción de datos'!$A$1:$T$150</definedName>
    <definedName name="_xlnm.Print_Area" localSheetId="6">Programatico!$A$1:$Q$29</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datos'!$B$25:$J$65</definedName>
    <definedName name="PrintDataM">'Introducción de datos'!$B$67:$H$111</definedName>
    <definedName name="PrintF">Financiamiento!$A$2:$K$31</definedName>
    <definedName name="PrintGD">'Información de la subvención'!$A$2:$J$13</definedName>
    <definedName name="PrintM" localSheetId="8">Acciones!$A$2:$L$6</definedName>
    <definedName name="PrintM">Gestión!$A$2:$L$36</definedName>
    <definedName name="PrintP">Programatico!$A$2:$P$30</definedName>
    <definedName name="PrintR">Recomendaciones!$A$2:$N$41</definedName>
    <definedName name="Rating">Setup!$G$9:$G$14</definedName>
    <definedName name="Round">Setup!$D$9:$D$21</definedName>
  </definedNames>
  <calcPr calcId="191029"/>
</workbook>
</file>

<file path=xl/calcChain.xml><?xml version="1.0" encoding="utf-8"?>
<calcChain xmlns="http://schemas.openxmlformats.org/spreadsheetml/2006/main">
  <c r="C52" i="29" l="1"/>
  <c r="D43" i="29" l="1"/>
  <c r="B4" i="46" l="1"/>
  <c r="B2" i="30"/>
  <c r="B3" i="30"/>
  <c r="C3" i="30"/>
  <c r="I3" i="30"/>
  <c r="K3" i="30"/>
  <c r="B4" i="30"/>
  <c r="C4" i="30"/>
  <c r="E4" i="30"/>
  <c r="I4" i="30"/>
  <c r="K4" i="30"/>
  <c r="D5" i="30"/>
  <c r="J5" i="30"/>
  <c r="K5" i="30"/>
  <c r="H27" i="30"/>
  <c r="J27" i="30"/>
  <c r="K27" i="30"/>
  <c r="H28" i="30"/>
  <c r="J28" i="30"/>
  <c r="K28" i="30"/>
  <c r="H29" i="30"/>
  <c r="J29" i="30"/>
  <c r="K29" i="30"/>
  <c r="F29" i="37"/>
  <c r="F28" i="37"/>
  <c r="F27" i="37"/>
  <c r="F26" i="37"/>
  <c r="F25" i="37"/>
  <c r="F24" i="37"/>
  <c r="F23" i="37"/>
  <c r="F22" i="37"/>
  <c r="F21" i="37"/>
  <c r="F20" i="37"/>
  <c r="E29" i="37"/>
  <c r="E28" i="37"/>
  <c r="E27" i="37"/>
  <c r="E26" i="37"/>
  <c r="E25" i="37"/>
  <c r="E24" i="37"/>
  <c r="E23" i="37"/>
  <c r="E22" i="37"/>
  <c r="E21" i="37"/>
  <c r="E20" i="37"/>
  <c r="B3" i="27"/>
  <c r="B3" i="32" s="1"/>
  <c r="E51" i="29"/>
  <c r="B2" i="45"/>
  <c r="B8" i="45"/>
  <c r="B21" i="45"/>
  <c r="B6" i="27"/>
  <c r="D38" i="29"/>
  <c r="C38" i="29"/>
  <c r="B32" i="29"/>
  <c r="B31" i="29"/>
  <c r="L4" i="39"/>
  <c r="B2" i="39"/>
  <c r="B2" i="42"/>
  <c r="B2" i="37"/>
  <c r="B2" i="35"/>
  <c r="E90" i="29"/>
  <c r="E89" i="29"/>
  <c r="C47" i="29"/>
  <c r="D47" i="29"/>
  <c r="C33" i="29"/>
  <c r="C35" i="29"/>
  <c r="C34" i="29"/>
  <c r="D34" i="29" s="1"/>
  <c r="E34" i="29" s="1"/>
  <c r="F34" i="29" s="1"/>
  <c r="F35" i="29" s="1"/>
  <c r="D33" i="29"/>
  <c r="R30" i="29" s="1"/>
  <c r="D11" i="42"/>
  <c r="J3" i="35"/>
  <c r="L3" i="35"/>
  <c r="D33" i="42"/>
  <c r="D34" i="42"/>
  <c r="D35" i="42"/>
  <c r="D36" i="42"/>
  <c r="D37" i="42"/>
  <c r="D38" i="42"/>
  <c r="D39" i="42"/>
  <c r="D40" i="42"/>
  <c r="D41" i="42"/>
  <c r="D32" i="42"/>
  <c r="D31" i="42"/>
  <c r="D30" i="42"/>
  <c r="D29" i="42"/>
  <c r="E109" i="29"/>
  <c r="G109" i="29"/>
  <c r="I109" i="29"/>
  <c r="J31" i="35" s="1"/>
  <c r="E108" i="29"/>
  <c r="G108" i="29"/>
  <c r="I108" i="29" s="1"/>
  <c r="E110" i="29"/>
  <c r="G110" i="29" s="1"/>
  <c r="I110" i="29" s="1"/>
  <c r="E111" i="29"/>
  <c r="G111" i="29"/>
  <c r="I111" i="29" s="1"/>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10" i="27"/>
  <c r="H34" i="29"/>
  <c r="I34" i="29"/>
  <c r="J34" i="29" s="1"/>
  <c r="K34" i="29" s="1"/>
  <c r="L34" i="29" s="1"/>
  <c r="M34" i="29" s="1"/>
  <c r="N34" i="29" s="1"/>
  <c r="D24" i="42"/>
  <c r="D23" i="42"/>
  <c r="D22" i="42"/>
  <c r="D21" i="42"/>
  <c r="D20" i="42"/>
  <c r="D19" i="42"/>
  <c r="D14" i="42"/>
  <c r="D13" i="42"/>
  <c r="D12" i="42"/>
  <c r="B25" i="45"/>
  <c r="B23" i="45"/>
  <c r="B22" i="45"/>
  <c r="B20" i="45"/>
  <c r="B19" i="45"/>
  <c r="B11" i="45"/>
  <c r="B10" i="45"/>
  <c r="B9" i="45"/>
  <c r="C4" i="39"/>
  <c r="C4" i="42"/>
  <c r="C4" i="37"/>
  <c r="B4" i="37"/>
  <c r="C4" i="35"/>
  <c r="B4" i="35"/>
  <c r="G73" i="29"/>
  <c r="F20" i="42"/>
  <c r="G12" i="27"/>
  <c r="K148" i="29"/>
  <c r="K147" i="29"/>
  <c r="K146" i="29"/>
  <c r="K145" i="29"/>
  <c r="K144" i="29"/>
  <c r="K143" i="29"/>
  <c r="C98" i="29"/>
  <c r="D98" i="29" s="1"/>
  <c r="E98" i="29" s="1"/>
  <c r="F98" i="29" s="1"/>
  <c r="G98" i="29" s="1"/>
  <c r="H98" i="29" s="1"/>
  <c r="I98" i="29" s="1"/>
  <c r="J98" i="29" s="1"/>
  <c r="K98" i="29" s="1"/>
  <c r="L98" i="29" s="1"/>
  <c r="M98" i="29" s="1"/>
  <c r="N98" i="29" s="1"/>
  <c r="G72" i="29"/>
  <c r="E53" i="29"/>
  <c r="E52" i="29"/>
  <c r="B4" i="39"/>
  <c r="D5" i="39"/>
  <c r="E4" i="39"/>
  <c r="L5" i="39"/>
  <c r="K5" i="39"/>
  <c r="J4" i="39"/>
  <c r="L3" i="39"/>
  <c r="J3" i="39"/>
  <c r="C3" i="39"/>
  <c r="B3" i="39"/>
  <c r="M5" i="42"/>
  <c r="M4" i="42"/>
  <c r="L5" i="42"/>
  <c r="L4" i="42"/>
  <c r="E5" i="42"/>
  <c r="E4" i="42"/>
  <c r="B4" i="42"/>
  <c r="M3" i="42"/>
  <c r="L3" i="42"/>
  <c r="C3" i="42"/>
  <c r="B3" i="42"/>
  <c r="E4" i="37"/>
  <c r="Q5" i="37"/>
  <c r="Q4" i="37"/>
  <c r="Q3" i="37"/>
  <c r="H30" i="35"/>
  <c r="I33" i="35"/>
  <c r="I32" i="35"/>
  <c r="I31" i="35"/>
  <c r="I30" i="35"/>
  <c r="B26" i="35"/>
  <c r="I9" i="27"/>
  <c r="G13" i="27"/>
  <c r="B13" i="27"/>
  <c r="B12" i="27"/>
  <c r="I11" i="27"/>
  <c r="G11" i="27"/>
  <c r="D11" i="27"/>
  <c r="B11" i="27"/>
  <c r="G10" i="27"/>
  <c r="D10" i="27"/>
  <c r="G9" i="27"/>
  <c r="D9" i="27"/>
  <c r="B9" i="27"/>
  <c r="F6" i="27"/>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L5" i="35"/>
  <c r="K5" i="35"/>
  <c r="L4" i="35"/>
  <c r="J4" i="35"/>
  <c r="C3" i="35"/>
  <c r="B3" i="35"/>
  <c r="D5" i="37"/>
  <c r="P5" i="37"/>
  <c r="P4" i="37"/>
  <c r="O3" i="37"/>
  <c r="C3" i="37"/>
  <c r="B3" i="37"/>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E55" i="29"/>
  <c r="B27" i="37"/>
  <c r="N142" i="29"/>
  <c r="M142" i="29"/>
  <c r="L142" i="29"/>
  <c r="K142" i="29"/>
  <c r="J142" i="29"/>
  <c r="I142" i="29"/>
  <c r="H142" i="29"/>
  <c r="B36" i="39"/>
  <c r="B34" i="39"/>
  <c r="E54" i="29"/>
  <c r="B34" i="35"/>
  <c r="Z24" i="37"/>
  <c r="AA24" i="37"/>
  <c r="Z23" i="37"/>
  <c r="AA23" i="37"/>
  <c r="AF23" i="37"/>
  <c r="AE23" i="37"/>
  <c r="Z22" i="37"/>
  <c r="AA22" i="37"/>
  <c r="AE22" i="37"/>
  <c r="AF21" i="37"/>
  <c r="AE21" i="37"/>
  <c r="AD21" i="37"/>
  <c r="AC21" i="37"/>
  <c r="AB21" i="37"/>
  <c r="E20" i="42"/>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AD23" i="37"/>
  <c r="D35" i="29"/>
  <c r="H4" i="46"/>
  <c r="B2" i="46"/>
  <c r="AD24" i="37"/>
  <c r="AF22" i="37"/>
  <c r="AC22" i="37"/>
  <c r="AD22" i="37"/>
  <c r="R29" i="29"/>
  <c r="AC23" i="37"/>
  <c r="AB23" i="37"/>
  <c r="AE24" i="37"/>
  <c r="AF24" i="37"/>
  <c r="AC24" i="37"/>
  <c r="AB24" i="37"/>
  <c r="E33" i="29"/>
  <c r="R31" i="29" s="1"/>
  <c r="F33" i="29"/>
  <c r="R32" i="29" s="1"/>
  <c r="AB22" i="37"/>
  <c r="E35" i="29"/>
  <c r="H22" i="30"/>
  <c r="H8" i="30"/>
  <c r="B8" i="30"/>
  <c r="G33" i="29"/>
  <c r="R33" i="29" s="1"/>
  <c r="H33" i="29"/>
  <c r="H35" i="29" s="1"/>
  <c r="F47" i="29" l="1"/>
  <c r="H15" i="35"/>
  <c r="B22" i="30"/>
  <c r="J33" i="35"/>
  <c r="K111" i="29"/>
  <c r="L33" i="35" s="1"/>
  <c r="K110" i="29"/>
  <c r="L32" i="35" s="1"/>
  <c r="J32" i="35"/>
  <c r="J30" i="35"/>
  <c r="K108" i="29"/>
  <c r="L30" i="35" s="1"/>
  <c r="R34" i="29"/>
  <c r="I33" i="29"/>
  <c r="K109" i="29"/>
  <c r="L31" i="35" s="1"/>
  <c r="H7" i="35"/>
  <c r="G35" i="29"/>
  <c r="B15" i="35"/>
  <c r="H26" i="35"/>
  <c r="B7" i="35"/>
  <c r="G24" i="37"/>
  <c r="G26" i="37"/>
  <c r="G22" i="37"/>
  <c r="G21" i="37"/>
  <c r="G20" i="37"/>
  <c r="G27" i="37"/>
  <c r="G28" i="37"/>
  <c r="G25" i="37"/>
  <c r="G29" i="37"/>
  <c r="G23" i="37"/>
  <c r="R35" i="29" l="1"/>
  <c r="I35" i="29"/>
  <c r="J33" i="29"/>
  <c r="J35" i="29" l="1"/>
  <c r="R49" i="29"/>
  <c r="K33" i="29"/>
  <c r="L33" i="29" l="1"/>
  <c r="R50" i="29"/>
  <c r="K35" i="29"/>
  <c r="L35" i="29" l="1"/>
  <c r="M33" i="29"/>
  <c r="N33" i="29" l="1"/>
  <c r="N35" i="29" s="1"/>
  <c r="O31" i="29" s="1"/>
  <c r="Q51" i="29"/>
  <c r="M35"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molszak</author>
  </authors>
  <commentList>
    <comment ref="B72" authorId="0" shapeId="0" xr:uid="{00000000-0006-0000-0200-000001000000}">
      <text>
        <r>
          <rPr>
            <b/>
            <sz val="8"/>
            <color indexed="81"/>
            <rFont val="Tahoma"/>
            <family val="2"/>
          </rPr>
          <t xml:space="preserve">Si los datos no están disponibles, no introduzca ceros; deje las celdas de la tabla en blanco. </t>
        </r>
      </text>
    </comment>
    <comment ref="B73" authorId="0" shapeId="0" xr:uid="{00000000-0006-0000-0200-000002000000}">
      <text>
        <r>
          <rPr>
            <b/>
            <sz val="8"/>
            <color indexed="81"/>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<sst xmlns="http://schemas.openxmlformats.org/spreadsheetml/2006/main" count="514" uniqueCount="371">
  <si>
    <t>Correos electrónicos y registros del RP, ALF y el Fondo Mundial; documentos de notificación bancaria o acuse de recibo por parte del RP al Fondo Mundial; informes de los subreceptores al RP según los registros bancarios</t>
  </si>
  <si>
    <t xml:space="preserve">Los indicadores deben ser seleccionados del Marco de Referencia por los RP y los miembros del MCP o del Comité Técnico del MCP </t>
  </si>
  <si>
    <t>Receptor Principal:</t>
  </si>
  <si>
    <t>Financiación total:</t>
  </si>
  <si>
    <t>Fecha de introducción de la información:</t>
  </si>
  <si>
    <t xml:space="preserve">Información financiera: </t>
  </si>
  <si>
    <t>Periodo de referencia</t>
  </si>
  <si>
    <t>F2: Presupuesto y gastos reales por objetivo de la subvención</t>
  </si>
  <si>
    <t>Anterior al periodo de referencia</t>
  </si>
  <si>
    <t>Días que el desembolso ha tardado en llegar al RP</t>
  </si>
  <si>
    <t xml:space="preserve">Días que el desembolso ha tardado en llegar a los subreceptores </t>
  </si>
  <si>
    <t>(3)
Número total de pacientes en tratamiento</t>
  </si>
  <si>
    <t>(6 = 5 / 4)
Nivel de existencias expresado en meses de tratamiento para todos los pacientes actuales</t>
  </si>
  <si>
    <t xml:space="preserve">(7)
Nivel de existencias de seguridad
(expresado en meses y diferenciado por países) </t>
  </si>
  <si>
    <t>Número de meses</t>
  </si>
  <si>
    <t>Indicador</t>
  </si>
  <si>
    <t>Marco de referencia</t>
  </si>
  <si>
    <t>Información de la subvención</t>
  </si>
  <si>
    <t>País:</t>
  </si>
  <si>
    <t>Componente:</t>
  </si>
  <si>
    <t>Receptor principal:</t>
  </si>
  <si>
    <t>Convocatoria:</t>
  </si>
  <si>
    <t>Fase:</t>
  </si>
  <si>
    <t>Fecha de inicio (dd/mm/aa):</t>
  </si>
  <si>
    <t>Agente Local del Fondo:</t>
  </si>
  <si>
    <t>Última calificación:</t>
  </si>
  <si>
    <t>Periodo de referencia del que se informa</t>
  </si>
  <si>
    <t>Periodo de referencia:</t>
  </si>
  <si>
    <t>Desde:</t>
  </si>
  <si>
    <t>Hasta:</t>
  </si>
  <si>
    <t>Elaborado por:</t>
  </si>
  <si>
    <t>Información sobre los indicadores</t>
  </si>
  <si>
    <t>Introduzca los datos según el código de colores de las celdas</t>
  </si>
  <si>
    <t xml:space="preserve">Información de gestión: </t>
  </si>
  <si>
    <t xml:space="preserve">Información de programa: </t>
  </si>
  <si>
    <t>Moneda de la subvención</t>
  </si>
  <si>
    <t>F1: Presupuesto y desembolsos del Fondo Mundial</t>
  </si>
  <si>
    <t>Presupuesto acumulado</t>
  </si>
  <si>
    <t>Objetivo de la subvención</t>
  </si>
  <si>
    <t>F3: Desembolsos y gastos</t>
  </si>
  <si>
    <t>Periodo de referencia actual</t>
  </si>
  <si>
    <t>Desembolsado por el Fondo Mundial</t>
  </si>
  <si>
    <t>Desembolsado a los subreceptores</t>
  </si>
  <si>
    <t>Gastos de los subreceptores</t>
  </si>
  <si>
    <t>F4: Último ciclo de información y desembolso del RP</t>
  </si>
  <si>
    <t>(Días) esperados</t>
  </si>
  <si>
    <t>(Días) reales</t>
  </si>
  <si>
    <t>Información de gestión:</t>
  </si>
  <si>
    <t xml:space="preserve">     Introduzca los datos de gestión en todas las celdas azules.</t>
  </si>
  <si>
    <t>Cumplidas</t>
  </si>
  <si>
    <t>No cumplidas, aunque dentro de plazo</t>
  </si>
  <si>
    <t>No cumplidas y con el plazo vencido</t>
  </si>
  <si>
    <t>Planificados</t>
  </si>
  <si>
    <t>Cubiertos</t>
  </si>
  <si>
    <t>Vacantes</t>
  </si>
  <si>
    <t>Unidad de gestión de proyecto</t>
  </si>
  <si>
    <t>Identificados</t>
  </si>
  <si>
    <t>Evaluados</t>
  </si>
  <si>
    <t>Aprobados</t>
  </si>
  <si>
    <t>Firmados</t>
  </si>
  <si>
    <t>Que reciben financiación</t>
  </si>
  <si>
    <t>Subreceptores</t>
  </si>
  <si>
    <t>Presupuesto aprobado*</t>
  </si>
  <si>
    <t>Obligaciones</t>
  </si>
  <si>
    <t>Gastos</t>
  </si>
  <si>
    <t>Obligaciones acumuladas</t>
  </si>
  <si>
    <t>Gastos acumulados</t>
  </si>
  <si>
    <t>Componente</t>
  </si>
  <si>
    <t>Productos</t>
  </si>
  <si>
    <t>(2 = 1 x 30)
Tratamiento mensual 
(Pastillas por paciente cada 30 días)</t>
  </si>
  <si>
    <t>(4 = 2 x 3)
Número total de pastillas que se necesitan para todos los pacientes durante un mes</t>
  </si>
  <si>
    <t>(8 = 6 - 7)
Diferencia entre existencias actuales y existencias de seguridad</t>
  </si>
  <si>
    <t>VIH/SIDA</t>
  </si>
  <si>
    <t>Información de programa:</t>
  </si>
  <si>
    <t xml:space="preserve">     Introduzca los datos de desempeño en todas las celdas amarillas.</t>
  </si>
  <si>
    <t>Indicadores de programa (Marco de Referencia)</t>
  </si>
  <si>
    <t>Código</t>
  </si>
  <si>
    <t>¿Directamente vinculados?</t>
  </si>
  <si>
    <t>3 PRIMEROS</t>
  </si>
  <si>
    <t>Meta</t>
  </si>
  <si>
    <t>La tabla se actualiza de forma automática. No debe introducirse aquí ningún dato o información.</t>
  </si>
  <si>
    <t>Fecha de inicio:</t>
  </si>
  <si>
    <t>Financiación total</t>
  </si>
  <si>
    <t>desde:</t>
  </si>
  <si>
    <t>Fecha de elaboración del informe:</t>
  </si>
  <si>
    <t>Indicadores financieros</t>
  </si>
  <si>
    <t>Comentarios:</t>
  </si>
  <si>
    <t xml:space="preserve">Comentarios: </t>
  </si>
  <si>
    <t>máx.</t>
  </si>
  <si>
    <t>Clasificación</t>
  </si>
  <si>
    <t>Recomendaciones</t>
  </si>
  <si>
    <t>Comentarios resumidos</t>
  </si>
  <si>
    <t>¿Cumplen lo acordado la adquisición y la contratación?</t>
  </si>
  <si>
    <t>Gestión</t>
  </si>
  <si>
    <t>P1 - tendencia</t>
  </si>
  <si>
    <t>P2 - tendencia</t>
  </si>
  <si>
    <t>P3 - tendencia</t>
  </si>
  <si>
    <t>¿Cuál es el estado general de la ejecución de esta subvención?</t>
  </si>
  <si>
    <t>Decisión del MCP</t>
  </si>
  <si>
    <t>Persona responsable</t>
  </si>
  <si>
    <t>Periodo de referencia anterior</t>
  </si>
  <si>
    <r>
      <t xml:space="preserve">Número de días naturales; se refiere sólo al periodo de referencia para el que se recibió el último desembolso y </t>
    </r>
    <r>
      <rPr>
        <b/>
        <sz val="11"/>
        <color indexed="8"/>
        <rFont val="Arial"/>
        <family val="2"/>
      </rPr>
      <t>no es acumulado</t>
    </r>
  </si>
  <si>
    <t>Fuente de información</t>
  </si>
  <si>
    <t>Número, en el actual periodo de referencia</t>
  </si>
  <si>
    <t>Registros del RP</t>
  </si>
  <si>
    <t>Número, acumulado hasta el periodo de referencia. Un subreceptor es una institución o programa con un plan de trabajo, un presupuesto y unas metas de cumplimiento propios.</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</si>
  <si>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</si>
  <si>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</si>
  <si>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</si>
  <si>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t>Moneda de la subvención ($ o euro)</t>
  </si>
  <si>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</si>
  <si>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t>
  </si>
  <si>
    <t>$</t>
  </si>
  <si>
    <t>RCC</t>
  </si>
  <si>
    <t>Component</t>
  </si>
  <si>
    <t>MALARIA</t>
  </si>
  <si>
    <t>TB</t>
  </si>
  <si>
    <t>Currency</t>
  </si>
  <si>
    <t>Round</t>
  </si>
  <si>
    <t>Phase</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</si>
  <si>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</si>
  <si>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</si>
  <si>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</si>
  <si>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</si>
  <si>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</si>
  <si>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</si>
  <si>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</si>
  <si>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</si>
  <si>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</si>
  <si>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</si>
  <si>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</si>
  <si>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</si>
  <si>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</si>
  <si>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</si>
  <si>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</si>
  <si>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</si>
  <si>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NVP</t>
  </si>
  <si>
    <t>3TC</t>
  </si>
  <si>
    <t>D4T</t>
  </si>
  <si>
    <t>AZT</t>
  </si>
  <si>
    <t>DDI</t>
  </si>
  <si>
    <t>EFV</t>
  </si>
  <si>
    <t>AS/MQ</t>
  </si>
  <si>
    <t>AS/LF</t>
  </si>
  <si>
    <t>AS/AQ</t>
  </si>
  <si>
    <t>Medicaments</t>
  </si>
  <si>
    <t>F1</t>
  </si>
  <si>
    <t>F2</t>
  </si>
  <si>
    <t>F3</t>
  </si>
  <si>
    <t>F4</t>
  </si>
  <si>
    <t>P1</t>
  </si>
  <si>
    <t>P2</t>
  </si>
  <si>
    <t>P3</t>
  </si>
  <si>
    <t>P4</t>
  </si>
  <si>
    <t>M1</t>
  </si>
  <si>
    <t>M2</t>
  </si>
  <si>
    <t>P5</t>
  </si>
  <si>
    <t>P6</t>
  </si>
  <si>
    <t>P7</t>
  </si>
  <si>
    <t>P8</t>
  </si>
  <si>
    <t>P9</t>
  </si>
  <si>
    <t>P10</t>
  </si>
  <si>
    <t>P11</t>
  </si>
  <si>
    <t>Countries</t>
  </si>
  <si>
    <t>Argentina</t>
  </si>
  <si>
    <t>Bolivia</t>
  </si>
  <si>
    <t>Chile</t>
  </si>
  <si>
    <t>Colombia</t>
  </si>
  <si>
    <t>Costa Rica</t>
  </si>
  <si>
    <t>Cuba</t>
  </si>
  <si>
    <t>Ecuador</t>
  </si>
  <si>
    <t>El Salvador</t>
  </si>
  <si>
    <t>Guatemala</t>
  </si>
  <si>
    <t>Guinea</t>
  </si>
  <si>
    <t>Guinea-Bissau</t>
  </si>
  <si>
    <t>Guyana</t>
  </si>
  <si>
    <t>Honduras</t>
  </si>
  <si>
    <t>Jamaica</t>
  </si>
  <si>
    <t>UNOPS</t>
  </si>
  <si>
    <t>Rating</t>
  </si>
  <si>
    <t>RDT</t>
  </si>
  <si>
    <t>Period</t>
  </si>
  <si>
    <t>P12</t>
  </si>
  <si>
    <t>LFA</t>
  </si>
  <si>
    <t>Isoniazid</t>
  </si>
  <si>
    <t>Ethambutol</t>
  </si>
  <si>
    <t>Rifampicin</t>
  </si>
  <si>
    <t>Pyrazimamide</t>
  </si>
  <si>
    <t>E-PAP</t>
  </si>
  <si>
    <t>Al/Lum</t>
  </si>
  <si>
    <t>TB nutri'l supplements</t>
  </si>
  <si>
    <t>Set-up = List of validation for Grant Detail page</t>
  </si>
  <si>
    <t>Nombre:</t>
  </si>
  <si>
    <t>Definición</t>
  </si>
  <si>
    <t>Mediciones</t>
  </si>
  <si>
    <t>Fuentes de información</t>
  </si>
  <si>
    <t>• Acumulado – Cifras referidas al presupuesto, los desembolsos o el gasto para todos los periodos de la fase hasta el periodo de referencia del cuadro de mando inclusive.</t>
  </si>
  <si>
    <t>Desembolsos  acumulados</t>
  </si>
  <si>
    <t>Indicadores de gestión</t>
  </si>
  <si>
    <t>Comentarios</t>
  </si>
  <si>
    <t>Diferencia entre existencias actuales y existencias de seguridad</t>
  </si>
  <si>
    <t>Meses de existencias de seguridad</t>
  </si>
  <si>
    <t>Nivel de existencias expresado en meses de tratamiento para todos los pacientes actuales.</t>
  </si>
  <si>
    <t>0% - 59%</t>
  </si>
  <si>
    <t>60% - 89%</t>
  </si>
  <si>
    <t>&gt; 90%</t>
  </si>
  <si>
    <t>Lograda</t>
  </si>
  <si>
    <t>Financiera</t>
  </si>
  <si>
    <t>Título de la subvención:</t>
  </si>
  <si>
    <t>hasta:</t>
  </si>
  <si>
    <t>Subvención nº:</t>
  </si>
  <si>
    <t>Indicadores de programa:</t>
  </si>
  <si>
    <t>Indicadores</t>
  </si>
  <si>
    <t>Comentario:</t>
  </si>
  <si>
    <t>Programa</t>
  </si>
  <si>
    <t>Moneda de la subvención ($ o euro) Acumulado – Cifras referidas al presupuesto y los desembolsos para todos los periodos de la fase hasta el periodo de referencia del cuadro de mando inclusive</t>
  </si>
  <si>
    <t>Antigua y Barbuda</t>
  </si>
  <si>
    <t>Antillas Holandesas</t>
  </si>
  <si>
    <t>Aruba</t>
  </si>
  <si>
    <t>Bahamas</t>
  </si>
  <si>
    <t>Barbados</t>
  </si>
  <si>
    <t>Belice</t>
  </si>
  <si>
    <t>Bermudas</t>
  </si>
  <si>
    <t>Brasil</t>
  </si>
  <si>
    <t>Cabo Verde</t>
  </si>
  <si>
    <t>Dominica</t>
  </si>
  <si>
    <t>España</t>
  </si>
  <si>
    <t>Guadalupe</t>
  </si>
  <si>
    <t>Guinea Ecuatorial</t>
  </si>
  <si>
    <t>Haití</t>
  </si>
  <si>
    <t>Islas Caimanes</t>
  </si>
  <si>
    <t>Ronda 1</t>
  </si>
  <si>
    <t>Ronda 2</t>
  </si>
  <si>
    <t>Ronda 3</t>
  </si>
  <si>
    <t>Ronda 4</t>
  </si>
  <si>
    <t>Ronda 5</t>
  </si>
  <si>
    <t>Ronda 6</t>
  </si>
  <si>
    <t>Ronda 7</t>
  </si>
  <si>
    <t>Ronda 8</t>
  </si>
  <si>
    <t>Ronda 9</t>
  </si>
  <si>
    <t>Ronda 10</t>
  </si>
  <si>
    <t>Fase 1</t>
  </si>
  <si>
    <t>Fase 2</t>
  </si>
  <si>
    <t>Decisiones y acciones</t>
  </si>
  <si>
    <t xml:space="preserve">     Introduzca los datos financieros en todas las celdas naranjas como ésta.</t>
  </si>
  <si>
    <t>Sub SR al SR</t>
  </si>
  <si>
    <t>SR al RP</t>
  </si>
  <si>
    <t>México</t>
  </si>
  <si>
    <t>Nicaragua</t>
  </si>
  <si>
    <t>Panamá</t>
  </si>
  <si>
    <t>Paraguay</t>
  </si>
  <si>
    <t>Perú</t>
  </si>
  <si>
    <t>Puerto Rico</t>
  </si>
  <si>
    <t>San Vicente, Granadinas</t>
  </si>
  <si>
    <t>Trinidad y Tobago</t>
  </si>
  <si>
    <t>Uruguay</t>
  </si>
  <si>
    <t>Venezuela</t>
  </si>
  <si>
    <t>Indicadores Financieros</t>
  </si>
  <si>
    <t>Indicadores del programa (del Marco de Referencia)</t>
  </si>
  <si>
    <t>Información bancaria o contable del RP; notificación de desembolso del Fondo Mundial; informe de progreso actualizado/solicitud de desembolso; sitio web del Fondo Mundial</t>
  </si>
  <si>
    <t>Informe de progreso actualizado/solicitud de desembolso; datos del RP: informes de los subreceptores al RP</t>
  </si>
  <si>
    <t>Registros del RP; informes de desempeño de la subvención;</t>
  </si>
  <si>
    <t>Registros del RP; subacuerdos / memorandos de entendimiento; registros del MCP</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</si>
  <si>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</si>
  <si>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t>Registros del RP: datos de almacenamiento.</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</si>
  <si>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t>
    </r>
    <r>
      <rPr>
        <b/>
        <sz val="11"/>
        <color indexed="8"/>
        <rFont val="Arial"/>
        <family val="2"/>
      </rPr>
      <t xml:space="preserve">
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El importe total transferido por el RP a los subreceptores en el periodo de referencia del cuadro de mando.</t>
    </r>
    <r>
      <rPr>
        <b/>
        <sz val="11"/>
        <color indexed="8"/>
        <rFont val="Arial"/>
        <family val="2"/>
      </rPr>
      <t xml:space="preserve">
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</si>
  <si>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Días tardados en enviar el informe de progreso actualizado y solicitud de desembolso al ALF – </t>
    </r>
    <r>
      <rPr>
        <sz val="11"/>
        <color indexed="8"/>
        <rFont val="Arial"/>
        <family val="2"/>
      </rPr>
      <t>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t>
    </r>
    <r>
      <rPr>
        <b/>
        <sz val="11"/>
        <color indexed="8"/>
        <rFont val="Arial"/>
        <family val="2"/>
      </rPr>
      <t xml:space="preserve">
Días que el desembolso ha tardado en llegar al RP – </t>
    </r>
    <r>
      <rPr>
        <sz val="11"/>
        <color indexed="8"/>
        <rFont val="Arial"/>
        <family val="2"/>
      </rPr>
      <t>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t>
    </r>
    <r>
      <rPr>
        <b/>
        <sz val="11"/>
        <color indexed="8"/>
        <rFont val="Arial"/>
        <family val="2"/>
      </rPr>
      <t xml:space="preserve">
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</si>
  <si>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rPr>
        <b/>
        <sz val="11"/>
        <color indexed="8"/>
        <rFont val="Arial"/>
        <family val="2"/>
      </rP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</si>
  <si>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r>
      <rPr>
        <b/>
        <sz val="11"/>
        <color indexed="8"/>
        <rFont val="Arial"/>
        <family val="2"/>
      </rP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</si>
  <si>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</si>
  <si>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Definición (del Plan de Monitoreo y Evaluación, junio de 2007)</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</si>
  <si>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</si>
  <si>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Días tardados en presentar el informe de progreso actualizado y solicitud de desembolso al ALF</t>
  </si>
  <si>
    <t>Esperados</t>
  </si>
  <si>
    <t>Recibidos</t>
  </si>
  <si>
    <t>Pendientes</t>
  </si>
  <si>
    <t>Seleccionar</t>
  </si>
  <si>
    <t>Ultima calificación:</t>
  </si>
  <si>
    <t>Gerente de Cartera del Fondo:</t>
  </si>
  <si>
    <t>Desembolsos</t>
  </si>
  <si>
    <t>Presupuesto aprobado acumulado*</t>
  </si>
  <si>
    <t>(5)
Existencias actuales en el almacén central (que no caducarán en los próximos 3 meses)</t>
  </si>
  <si>
    <t>Logro</t>
  </si>
  <si>
    <t>¿Se están ejecutando los fondos de acuerdo al presupuesto?</t>
  </si>
  <si>
    <t>¿Se están alcanzando las metas programáticas?</t>
  </si>
  <si>
    <t>Fecha límite para ejecutarla</t>
  </si>
  <si>
    <t>Acción realizada</t>
  </si>
  <si>
    <t>M2: Estado de los principales puestos directivos del RP</t>
  </si>
  <si>
    <t xml:space="preserve">M3: Acuerdos contractuales (subreceptores) </t>
  </si>
  <si>
    <t>M6: Diferencia entre existencias actuales y existencias de seguridad</t>
  </si>
  <si>
    <t>Acciones con fecha límite</t>
  </si>
  <si>
    <t>Último desembolso de fondos: Número de días calendario</t>
  </si>
  <si>
    <t>M1: Estado de las condiciones precedentes y acciones con fecha límite</t>
  </si>
  <si>
    <t>Condiciones precedentes</t>
  </si>
  <si>
    <t>M4: Número de informes completos recibidos a tiempo</t>
  </si>
  <si>
    <t>* Incluye sólo los montos de las categorías 4 y 5 (Productos y equipamientos sanitarios y Medicamentos y productos farmacéuticos) de los  Informes Financieros Mejorados</t>
  </si>
  <si>
    <t>(1)
Número de pastillas por paciente/día
(Revisión de las normas de tratamiento del país)</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</si>
  <si>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</si>
  <si>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</si>
  <si>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</si>
  <si>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</si>
  <si>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</si>
  <si>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Periodo Actual</t>
  </si>
  <si>
    <t>Periodo Anterior</t>
  </si>
  <si>
    <t>Último desembolso de fondos: Días calendario</t>
  </si>
  <si>
    <t>Gasto RP + desembolso a SRs</t>
  </si>
  <si>
    <t>Periodo:</t>
  </si>
  <si>
    <t>M5: Presupuesto y compra de productos y equipo sanitario, medicamentos y productos farmacéuticos</t>
  </si>
  <si>
    <t>¿Están las adquisiciones y contrataciones ejecutándose en el tiempo previsto?</t>
  </si>
  <si>
    <t>M3</t>
  </si>
  <si>
    <t>M4</t>
  </si>
  <si>
    <t>M5</t>
  </si>
  <si>
    <t>M6</t>
  </si>
  <si>
    <t>% del presupuesto desembolsado</t>
  </si>
  <si>
    <t>Principales recomendaciones del Comité de Monitoreo Estratégico</t>
  </si>
  <si>
    <t>Acciones programadas / Periodo anterior</t>
  </si>
  <si>
    <t>¿Cuál es el estado general de la ejecución de estas acciones?</t>
  </si>
  <si>
    <t>Producto 1</t>
  </si>
  <si>
    <t>Producto 2</t>
  </si>
  <si>
    <t>Producto 3</t>
  </si>
  <si>
    <t>VIH / SIDA</t>
  </si>
  <si>
    <t>VIHSIDA / TB</t>
  </si>
  <si>
    <t>FSS</t>
  </si>
  <si>
    <t>1830 PER-H-CARE</t>
  </si>
  <si>
    <t>CARE PERU</t>
  </si>
  <si>
    <t>1 julio de 2019</t>
  </si>
  <si>
    <t>Expansión de la Respuesta Nacional al VIH en poblaciones clave y vulnerables de ámbitos urbanos y amazónicos del Perú</t>
  </si>
  <si>
    <t>MÓDULO 1: Programas de prevención integral para hombres que tienen relaciones sexuales con otros hombres (HSH).</t>
  </si>
  <si>
    <t>MÓDULO 2: Programas de prevención integral en mujeres transgénero (MT)</t>
  </si>
  <si>
    <t>MÓDULO 3: Tratamiento, atención y apoyo.</t>
  </si>
  <si>
    <t>MÓDULO 4: Coinfección TB/VIH</t>
  </si>
  <si>
    <t>MÓDULO 5: SSRS:  Respuestas y sistemas comunitarios</t>
  </si>
  <si>
    <t>MÓDULO 6: SSRS: Sistemas de información en salud y monitoreo y evaluación</t>
  </si>
  <si>
    <t>MÓDULO 7: Gestión de programas</t>
  </si>
  <si>
    <t>-</t>
  </si>
  <si>
    <t>TCS-7</t>
  </si>
  <si>
    <t>Alwin De Greeff</t>
  </si>
  <si>
    <t>Porcentaje de hombres que tienen relaciones sexuales con hombres que se han sometido a pruebas de VIH durante el período de informe y conocen los resultados</t>
  </si>
  <si>
    <t>Porcentaje de personas transgénero que se han sometido a pruebas de VIH durante el período de informe y conocen los resultados</t>
  </si>
  <si>
    <t>Porcentaje de personas que viven con el VIH  que actualmente reciben tratamiento antirretroviral</t>
  </si>
  <si>
    <t>Porcentaje de casos de TB nuevos y recaídas VIH+ en TARV durante el tratamiento para la tuberculosis</t>
  </si>
  <si>
    <t>Porcentaje de nuevas personas diagnosticadas con VIH que son vinculadas a la atención (vinculación individual)</t>
  </si>
  <si>
    <t>KP-3a(M)</t>
  </si>
  <si>
    <t>KP-3b(M)</t>
  </si>
  <si>
    <t>TCS-1(M)</t>
  </si>
  <si>
    <t>TB/HIV-6(M)</t>
  </si>
  <si>
    <t>Porcentaje de HSH y MT que se han sometido a pruebas de VIH durante el período de informe y conocen los resultados en las BMU por regiones</t>
  </si>
  <si>
    <t>Porcentaje de HSH/MT tamizados por MCC según metas acordadas</t>
  </si>
  <si>
    <t>Porcentaje de PVV que inicia TAR por MCC según metas acordadas</t>
  </si>
  <si>
    <t>Porcentaje de PVV que reciben TPTB</t>
  </si>
  <si>
    <t xml:space="preserve">Porcentaje de TB/VIH con éxito de tratamiento </t>
  </si>
  <si>
    <t xml:space="preserve">Meta anual (2020) programada: 30.5% (N: 78,544/D: 256,692) </t>
  </si>
  <si>
    <t xml:space="preserve">Meta anual (2020) programada: 81.7 % (N:  59,452 /D: 72,735) </t>
  </si>
  <si>
    <t xml:space="preserve">Meta anual (2020) programada: 25.9 % (N:  8,979 /D: 34,558) </t>
  </si>
  <si>
    <t xml:space="preserve">Meta anual (2020) programada: 62.2 % (N:  1,183 /D: 1,900) </t>
  </si>
  <si>
    <t xml:space="preserve">Meta anual (2020) programada: 84.2 % (N:  4,700 /D: 5,578) </t>
  </si>
  <si>
    <t>El resultado alcanzado corresponde a: 908 HSH y 204 MT, se continúa con restricciones de salidas de BMU a causa de la pandemia.</t>
  </si>
  <si>
    <t>Del total de 825 (pacientes TB/VIH), 23 con tratamiento completo</t>
  </si>
  <si>
    <t>De abril a la fecha debido al estado de inmovilización por la pandemia del COVID 19, se tienen metas acorde al trabajo remoto realizado por los MCC (capacitaciones remotas, refuerzo de la adherencia al tratamiento a través de medios virtuales y apoyo para el recojo de medicamentos); sin embargo se contabilizan un total de 92 tamizajes a través de veces realizados por estrategia empleada desde el MCC.</t>
  </si>
  <si>
    <t>Del total de 13,308 PVV, 918 recibieron tratamiento preventivo TB lo que significa un 6.9%</t>
  </si>
  <si>
    <t xml:space="preserve">1.- El FM ha efectuado 4 desembolsos; los cuales corresponden al presupuesto original aprobado para el primer y segundo año.
2.-  En el trimestre Jul-Set 2020, el FM efectúo un pago directo al proveedor por $72,574 que corresponde a la compra de 2750 pruebas GenXpert COVID-19 para la respuesta frente a la pandemia COVID-19.
3.- El desembolso total del FM asciende a $ 3,492,989 que representa el 55.75% del presupuesto total aprobado, el cual asciende a $6,264,586.
</t>
  </si>
  <si>
    <t>1.- El porcentaje de ejecución del proyecto en función al importe desembolsado por el FM representa el 74%.</t>
  </si>
  <si>
    <t xml:space="preserve">1. El presupuesto original hasta setiembre de 2020 asciende a US$ 3,492,989, siendo que los gastos acumulados, incluyendo el uso de fondos del 5% original de COVID-19 (US$ 319,606.15), suman US% 2,588,510 (74.10%).
2. Los módulos 1 y 2 correspondientes a la implementación de nuevas brigadas móviles urbanas en Tumbes, Lambayeque y Arequipa se han reprogramado para enero 2021 a junio 2022, sin embargo se han adquirido las unidades móviles consensuadas con las DIRESA/GERESA.
3. En el módulo 3 se han incluido los fondos para usos de COVID-19.
4. En el módulo 4, debido a la pandemia por COVID-19, se suspendieron las actividades de campo, entre ellas, los equipos de coinfección, los mismos que se han reiniciado a través de trabajo remoto desde julio 2020, extendiéndose hasta diciembre 2021.
5. En el módulo 5, los MCC han sido extendidos de manera remota hasta octubre 2020, reprogramándose sus actividades hasta marzo 2021.
6.- En el módulo 6, como parte de la reprogramación se ha remitido las A.T. de Sistema de Interoperabilidad
</t>
  </si>
  <si>
    <t>Se encuentran pendientes la presentación del PEM-VIH; otras en progreso: recuperación del IGV, absorción y sostenibilidad de actividades de la subvención previa, entre ellas BMU, que han ingresado a la reprogramación.</t>
  </si>
  <si>
    <t>Sin comentarios</t>
  </si>
  <si>
    <t>No se cuenta con RP</t>
  </si>
  <si>
    <t>Los cartuchos de carga viral para VIH se entregarán a partir de diciembre de 2020, según solicitud del INS y carta de Cepheid</t>
  </si>
  <si>
    <t>Como parte de la implementación del Proyecto País VIH 2019-2022, se adquirieron cartuchos GeneXpert VIH (programación 2019 y 2020) y COVID-19, así como EPP distribuidos entre el INS, DPVIH y DIRIS Lima (4), habiéndose ejecutado el 98.90% (US$ 985,286 / US$ 996,225)</t>
  </si>
  <si>
    <t>Según lo informado por la DPVIH, el tamizaje alcanzado por la suma de las ofertas fija, móvil y BMU alcanzó a 390 usuarias MT, ello debido al impacto negativo de la pandemia por COVID-19</t>
  </si>
  <si>
    <t>Según lo informado por la DPVIH, el tamizaje alcanzado por la suma de las ofertas fija, móvil y BMU alcanzó a 2,385 usuarios HSH/gais, ello debido al impacto negativo de la pandemia por COVID-19</t>
  </si>
  <si>
    <t>Según lo informado por la DPVIH, la TAR alcanza al 95% de la PVV (69,299 / 72,735)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</si>
</sst>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s>
  <fonts count="138">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sz val="12"/>
      <color indexed="9"/>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44"/>
      <name val="Calibri"/>
      <family val="2"/>
    </font>
    <font>
      <b/>
      <i/>
      <sz val="14"/>
      <color indexed="12"/>
      <name val="Calibri"/>
      <family val="2"/>
    </font>
    <font>
      <sz val="7"/>
      <color indexed="16"/>
      <name val="Calibri"/>
      <family val="2"/>
    </font>
    <font>
      <i/>
      <sz val="9"/>
      <color indexed="8"/>
      <name val="Calibri"/>
      <family val="2"/>
    </font>
    <font>
      <sz val="11"/>
      <color indexed="53"/>
      <name val="Calibri"/>
      <family val="2"/>
    </font>
    <font>
      <sz val="11"/>
      <color indexed="9"/>
      <name val="Calibri"/>
      <family val="2"/>
    </font>
    <font>
      <sz val="11"/>
      <color theme="1"/>
      <name val="Calibri"/>
      <family val="2"/>
      <scheme val="minor"/>
    </font>
    <font>
      <b/>
      <sz val="15"/>
      <color theme="3"/>
      <name val="Calibri"/>
      <family val="2"/>
      <scheme val="minor"/>
    </font>
    <font>
      <sz val="11"/>
      <color rgb="FF006100"/>
      <name val="Calibri"/>
      <family val="2"/>
      <scheme val="minor"/>
    </font>
  </fonts>
  <fills count="3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3"/>
        <bgColor indexed="52"/>
      </patternFill>
    </fill>
    <fill>
      <patternFill patternType="solid">
        <fgColor indexed="65"/>
        <bgColor indexed="64"/>
      </patternFill>
    </fill>
    <fill>
      <patternFill patternType="solid">
        <fgColor indexed="61"/>
        <bgColor indexed="64"/>
      </patternFill>
    </fill>
    <fill>
      <patternFill patternType="gray0625">
        <fgColor indexed="52"/>
        <bgColor indexed="43"/>
      </patternFill>
    </fill>
    <fill>
      <patternFill patternType="gray0625">
        <f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rgb="FFC6EFCE"/>
      </patternFill>
    </fill>
  </fills>
  <borders count="2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right/>
      <top/>
      <bottom style="medium">
        <color indexed="60"/>
      </bottom>
      <diagonal/>
    </border>
    <border>
      <left style="medium">
        <color indexed="16"/>
      </left>
      <right style="thin">
        <color indexed="64"/>
      </right>
      <top style="thin">
        <color indexed="64"/>
      </top>
      <bottom style="thin">
        <color indexed="64"/>
      </bottom>
      <diagonal/>
    </border>
    <border>
      <left/>
      <right/>
      <top/>
      <bottom style="medium">
        <color indexed="12"/>
      </bottom>
      <diagonal/>
    </border>
    <border>
      <left style="thin">
        <color indexed="64"/>
      </left>
      <right style="medium">
        <color indexed="48"/>
      </right>
      <top style="thin">
        <color indexed="64"/>
      </top>
      <bottom style="thin">
        <color indexed="64"/>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style="medium">
        <color indexed="51"/>
      </right>
      <top style="thin">
        <color indexed="64"/>
      </top>
      <bottom style="thin">
        <color indexed="64"/>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right style="thick">
        <color indexed="9"/>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60"/>
      </left>
      <right/>
      <top style="medium">
        <color indexed="60"/>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16"/>
      </right>
      <top style="thin">
        <color indexed="64"/>
      </top>
      <bottom style="thin">
        <color indexed="64"/>
      </bottom>
      <diagonal/>
    </border>
    <border>
      <left style="thin">
        <color indexed="64"/>
      </left>
      <right style="thin">
        <color indexed="64"/>
      </right>
      <top style="thin">
        <color indexed="64"/>
      </top>
      <bottom style="medium">
        <color indexed="16"/>
      </bottom>
      <diagonal/>
    </border>
    <border>
      <left style="thin">
        <color indexed="64"/>
      </left>
      <right style="medium">
        <color indexed="16"/>
      </right>
      <top style="thin">
        <color indexed="64"/>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thin">
        <color indexed="16"/>
      </left>
      <right style="thin">
        <color indexed="16"/>
      </right>
      <top style="thin">
        <color indexed="16"/>
      </top>
      <bottom/>
      <diagonal/>
    </border>
    <border>
      <left style="thin">
        <color indexed="64"/>
      </left>
      <right style="medium">
        <color indexed="60"/>
      </right>
      <top style="thin">
        <color indexed="64"/>
      </top>
      <bottom style="thin">
        <color indexed="64"/>
      </bottom>
      <diagonal/>
    </border>
    <border>
      <left style="thin">
        <color indexed="64"/>
      </left>
      <right style="thin">
        <color indexed="64"/>
      </right>
      <top style="thin">
        <color indexed="64"/>
      </top>
      <bottom style="medium">
        <color indexed="60"/>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right style="medium">
        <color indexed="60"/>
      </right>
      <top style="medium">
        <color indexed="60"/>
      </top>
      <bottom/>
      <diagonal/>
    </border>
    <border>
      <left style="thin">
        <color indexed="64"/>
      </left>
      <right style="thin">
        <color indexed="64"/>
      </right>
      <top style="thin">
        <color indexed="64"/>
      </top>
      <bottom style="medium">
        <color indexed="51"/>
      </bottom>
      <diagonal/>
    </border>
    <border>
      <left style="hair">
        <color indexed="57"/>
      </left>
      <right style="hair">
        <color indexed="57"/>
      </right>
      <top style="medium">
        <color indexed="57"/>
      </top>
      <bottom style="medium">
        <color indexed="57"/>
      </bottom>
      <diagonal/>
    </border>
    <border>
      <left style="thin">
        <color indexed="64"/>
      </left>
      <right/>
      <top/>
      <bottom/>
      <diagonal/>
    </border>
    <border>
      <left style="medium">
        <color indexed="60"/>
      </left>
      <right style="thin">
        <color indexed="60"/>
      </right>
      <top style="medium">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medium">
        <color indexed="60"/>
      </top>
      <bottom style="thin">
        <color indexed="64"/>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16"/>
      </left>
      <right style="thin">
        <color indexed="64"/>
      </right>
      <top style="thin">
        <color indexed="64"/>
      </top>
      <bottom style="medium">
        <color indexed="16"/>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51"/>
      </left>
      <right style="medium">
        <color indexed="51"/>
      </right>
      <top style="medium">
        <color indexed="5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right style="thin">
        <color indexed="64"/>
      </right>
      <top style="medium">
        <color indexed="51"/>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51"/>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51"/>
      </right>
      <top style="thin">
        <color indexed="64"/>
      </top>
      <bottom style="medium">
        <color indexed="51"/>
      </bottom>
      <diagonal/>
    </border>
    <border>
      <left style="medium">
        <color indexed="16"/>
      </left>
      <right style="thin">
        <color indexed="16"/>
      </right>
      <top style="thin">
        <color indexed="16"/>
      </top>
      <bottom style="thin">
        <color indexed="16"/>
      </bottom>
      <diagonal/>
    </border>
    <border>
      <left style="medium">
        <color indexed="48"/>
      </left>
      <right style="thin">
        <color indexed="64"/>
      </right>
      <top style="thin">
        <color indexed="64"/>
      </top>
      <bottom style="medium">
        <color indexed="48"/>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16"/>
      </left>
      <right style="medium">
        <color indexed="16"/>
      </right>
      <top style="medium">
        <color indexed="16"/>
      </top>
      <bottom style="thin">
        <color indexed="16"/>
      </bottom>
      <diagonal/>
    </border>
    <border>
      <left style="medium">
        <color indexed="16"/>
      </left>
      <right style="thin">
        <color indexed="16"/>
      </right>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48"/>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indexed="64"/>
      </right>
      <top/>
      <bottom style="thin">
        <color indexed="64"/>
      </bottom>
      <diagonal/>
    </border>
    <border>
      <left style="medium">
        <color indexed="51"/>
      </left>
      <right style="thin">
        <color indexed="64"/>
      </right>
      <top style="thin">
        <color indexed="64"/>
      </top>
      <bottom style="thin">
        <color indexed="64"/>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51"/>
      </left>
      <right style="medium">
        <color indexed="51"/>
      </right>
      <top style="thin">
        <color indexed="64"/>
      </top>
      <bottom style="thin">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right style="thin">
        <color indexed="64"/>
      </right>
      <top/>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51"/>
      </left>
      <right style="thin">
        <color indexed="64"/>
      </right>
      <top style="thin">
        <color indexed="64"/>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style="medium">
        <color indexed="51"/>
      </right>
      <top style="thin">
        <color indexed="64"/>
      </top>
      <bottom style="medium">
        <color indexed="51"/>
      </bottom>
      <diagonal/>
    </border>
    <border>
      <left/>
      <right style="thin">
        <color indexed="64"/>
      </right>
      <top style="thin">
        <color indexed="64"/>
      </top>
      <bottom style="medium">
        <color indexed="5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9"/>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64"/>
      </left>
      <right style="hair">
        <color indexed="64"/>
      </right>
      <top style="hair">
        <color indexed="64"/>
      </top>
      <bottom style="hair">
        <color indexed="64"/>
      </bottom>
      <diagonal/>
    </border>
    <border>
      <left style="hair">
        <color indexed="57"/>
      </left>
      <right style="medium">
        <color indexed="57"/>
      </right>
      <top style="medium">
        <color indexed="57"/>
      </top>
      <bottom style="medium">
        <color indexed="57"/>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hair">
        <color indexed="64"/>
      </right>
      <top/>
      <bottom style="hair">
        <color indexed="64"/>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indexed="64"/>
      </left>
      <right style="hair">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thick">
        <color theme="4"/>
      </bottom>
      <diagonal/>
    </border>
  </borders>
  <cellStyleXfs count="6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164" fontId="3" fillId="0" borderId="0" applyFont="0" applyFill="0" applyBorder="0" applyAlignment="0" applyProtection="0"/>
    <xf numFmtId="164" fontId="2" fillId="0" borderId="0" applyFill="0" applyBorder="0" applyAlignment="0" applyProtection="0"/>
    <xf numFmtId="43" fontId="135" fillId="0" borderId="0" applyFont="0" applyFill="0" applyBorder="0" applyAlignment="0" applyProtection="0"/>
    <xf numFmtId="164"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xf numFmtId="164" fontId="1" fillId="0" borderId="0"/>
    <xf numFmtId="164" fontId="1" fillId="0" borderId="0"/>
    <xf numFmtId="164" fontId="135" fillId="0" borderId="0"/>
    <xf numFmtId="164" fontId="135" fillId="0" borderId="0"/>
    <xf numFmtId="164" fontId="135" fillId="0" borderId="0"/>
    <xf numFmtId="164" fontId="135"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164" fontId="135" fillId="0" borderId="9" applyNumberFormat="0" applyFill="0" applyAlignment="0" applyProtection="0"/>
    <xf numFmtId="164" fontId="1" fillId="0" borderId="9" applyNumberFormat="0" applyFill="0" applyAlignment="0" applyProtection="0"/>
    <xf numFmtId="164" fontId="1" fillId="0" borderId="9" applyNumberFormat="0" applyFill="0" applyAlignment="0" applyProtection="0"/>
    <xf numFmtId="164" fontId="135" fillId="0" borderId="9" applyNumberFormat="0" applyFill="0" applyAlignment="0" applyProtection="0"/>
    <xf numFmtId="0" fontId="76" fillId="0" borderId="0" applyNumberFormat="0" applyFill="0" applyBorder="0" applyAlignment="0" applyProtection="0"/>
    <xf numFmtId="0" fontId="136" fillId="0" borderId="239" applyNumberFormat="0" applyFill="0" applyAlignment="0" applyProtection="0"/>
    <xf numFmtId="0" fontId="137" fillId="37" borderId="0" applyNumberFormat="0" applyBorder="0" applyAlignment="0" applyProtection="0"/>
  </cellStyleXfs>
  <cellXfs count="906">
    <xf numFmtId="0" fontId="0" fillId="0" borderId="0" xfId="0"/>
    <xf numFmtId="164" fontId="16" fillId="0" borderId="0" xfId="40" applyFont="1" applyFill="1" applyAlignment="1">
      <alignment vertical="center"/>
    </xf>
    <xf numFmtId="0" fontId="0" fillId="0" borderId="0" xfId="0" applyBorder="1" applyProtection="1"/>
    <xf numFmtId="0" fontId="0" fillId="0" borderId="0" xfId="0" applyProtection="1"/>
    <xf numFmtId="164" fontId="22" fillId="0" borderId="0" xfId="40" applyFont="1" applyFill="1" applyAlignment="1" applyProtection="1">
      <alignment vertical="center"/>
    </xf>
    <xf numFmtId="0" fontId="21" fillId="0" borderId="0" xfId="0" applyFont="1" applyProtection="1"/>
    <xf numFmtId="164" fontId="19" fillId="0" borderId="0" xfId="52" applyFont="1" applyFill="1" applyAlignment="1" applyProtection="1"/>
    <xf numFmtId="164" fontId="19" fillId="0" borderId="0" xfId="52" applyFont="1" applyFill="1" applyAlignment="1" applyProtection="1">
      <alignment horizontal="center"/>
    </xf>
    <xf numFmtId="164" fontId="19" fillId="0" borderId="0" xfId="52" applyFont="1" applyFill="1" applyAlignment="1" applyProtection="1">
      <alignment horizontal="right"/>
    </xf>
    <xf numFmtId="164" fontId="19" fillId="0" borderId="0" xfId="52" applyFont="1" applyFill="1" applyBorder="1" applyAlignment="1" applyProtection="1">
      <alignment horizontal="center"/>
    </xf>
    <xf numFmtId="164" fontId="135" fillId="0" borderId="0" xfId="51" applyProtection="1"/>
    <xf numFmtId="164" fontId="15" fillId="0" borderId="0" xfId="51" applyFont="1" applyProtection="1"/>
    <xf numFmtId="0" fontId="18" fillId="0" borderId="0" xfId="51" applyNumberFormat="1" applyFont="1" applyBorder="1" applyProtection="1"/>
    <xf numFmtId="164" fontId="135" fillId="0" borderId="0" xfId="53" applyProtection="1"/>
    <xf numFmtId="164" fontId="135" fillId="0" borderId="0" xfId="53" applyFill="1" applyBorder="1" applyAlignment="1" applyProtection="1">
      <alignment horizontal="left"/>
    </xf>
    <xf numFmtId="0" fontId="0" fillId="0" borderId="0" xfId="0" applyFill="1" applyBorder="1" applyProtection="1"/>
    <xf numFmtId="164" fontId="135" fillId="0" borderId="0" xfId="53" applyFill="1" applyBorder="1" applyProtection="1"/>
    <xf numFmtId="0" fontId="15" fillId="0" borderId="0" xfId="0" applyFont="1" applyProtection="1"/>
    <xf numFmtId="164" fontId="15" fillId="0" borderId="0" xfId="53"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4" fontId="28" fillId="0" borderId="0" xfId="0" applyNumberFormat="1" applyFont="1"/>
    <xf numFmtId="164" fontId="28" fillId="0" borderId="0" xfId="0" applyNumberFormat="1" applyFont="1" applyAlignment="1">
      <alignment horizontal="right"/>
    </xf>
    <xf numFmtId="166" fontId="28" fillId="0" borderId="0" xfId="37" applyNumberFormat="1" applyFont="1" applyAlignment="1">
      <alignment horizontal="left"/>
    </xf>
    <xf numFmtId="164" fontId="16" fillId="0" borderId="0" xfId="50"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8" applyNumberFormat="1" applyFont="1" applyFill="1" applyBorder="1" applyAlignment="1">
      <alignment horizontal="center"/>
    </xf>
    <xf numFmtId="10" fontId="6" fillId="0" borderId="0" xfId="58" applyNumberFormat="1" applyFont="1" applyFill="1" applyBorder="1" applyAlignment="1" applyProtection="1">
      <alignment horizontal="center"/>
      <protection locked="0"/>
    </xf>
    <xf numFmtId="164" fontId="28" fillId="0" borderId="0" xfId="0" applyNumberFormat="1" applyFont="1" applyFill="1" applyBorder="1" applyAlignment="1"/>
    <xf numFmtId="164" fontId="135" fillId="0" borderId="0" xfId="63" applyFill="1" applyBorder="1" applyAlignment="1" applyProtection="1">
      <alignment vertical="center"/>
      <protection locked="0"/>
    </xf>
    <xf numFmtId="165"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164" fontId="39" fillId="0" borderId="0" xfId="63" applyFont="1" applyFill="1" applyBorder="1" applyAlignment="1" applyProtection="1">
      <alignment vertical="center"/>
      <protection locked="0"/>
    </xf>
    <xf numFmtId="0" fontId="0" fillId="0" borderId="10" xfId="0" applyBorder="1"/>
    <xf numFmtId="22" fontId="0" fillId="0" borderId="0" xfId="0" applyNumberFormat="1"/>
    <xf numFmtId="2" fontId="0" fillId="0" borderId="0" xfId="0" applyNumberFormat="1" applyFill="1"/>
    <xf numFmtId="2" fontId="135" fillId="0" borderId="0" xfId="60"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4" fontId="69" fillId="0" borderId="0" xfId="51" applyFont="1" applyProtection="1"/>
    <xf numFmtId="164" fontId="69" fillId="0" borderId="0" xfId="53"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164" fontId="69" fillId="0" borderId="10" xfId="53"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37" applyNumberFormat="1" applyFont="1" applyFill="1" applyBorder="1"/>
    <xf numFmtId="9" fontId="15" fillId="20" borderId="11" xfId="58" applyFont="1" applyFill="1" applyBorder="1"/>
    <xf numFmtId="9" fontId="15" fillId="20" borderId="11" xfId="58" applyNumberFormat="1" applyFont="1" applyFill="1" applyBorder="1"/>
    <xf numFmtId="0" fontId="15" fillId="20" borderId="11" xfId="0" applyFont="1" applyFill="1" applyBorder="1"/>
    <xf numFmtId="9" fontId="15" fillId="20" borderId="11" xfId="58" applyFont="1" applyFill="1" applyBorder="1" applyAlignment="1">
      <alignment horizontal="center"/>
    </xf>
    <xf numFmtId="0" fontId="15" fillId="0" borderId="0" xfId="0" applyFont="1"/>
    <xf numFmtId="0" fontId="33" fillId="0" borderId="0" xfId="0" applyFont="1" applyAlignment="1">
      <alignment horizontal="center"/>
    </xf>
    <xf numFmtId="164" fontId="61" fillId="0" borderId="0" xfId="50"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4" fontId="39" fillId="0" borderId="0" xfId="63"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164" fontId="31" fillId="0" borderId="13" xfId="63" applyFont="1" applyBorder="1" applyAlignment="1" applyProtection="1"/>
    <xf numFmtId="164" fontId="135" fillId="0" borderId="13" xfId="63" applyFill="1" applyBorder="1" applyAlignment="1" applyProtection="1">
      <alignment vertical="center"/>
    </xf>
    <xf numFmtId="164" fontId="31" fillId="0" borderId="0" xfId="63" applyFont="1" applyBorder="1" applyAlignment="1" applyProtection="1"/>
    <xf numFmtId="164" fontId="135" fillId="0" borderId="0" xfId="63" applyFill="1" applyBorder="1" applyAlignment="1" applyProtection="1">
      <alignment vertical="center"/>
    </xf>
    <xf numFmtId="164" fontId="3" fillId="0" borderId="0" xfId="63" applyFont="1" applyFill="1" applyBorder="1" applyAlignment="1" applyProtection="1">
      <alignment vertical="center"/>
    </xf>
    <xf numFmtId="166"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8"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4" xfId="0" applyNumberFormat="1" applyFont="1" applyFill="1" applyBorder="1" applyAlignment="1" applyProtection="1"/>
    <xf numFmtId="164" fontId="38" fillId="0" borderId="15" xfId="63" applyFont="1" applyBorder="1" applyAlignment="1" applyProtection="1"/>
    <xf numFmtId="164" fontId="39" fillId="0" borderId="15" xfId="63" applyFont="1" applyFill="1" applyBorder="1" applyAlignment="1" applyProtection="1">
      <alignment vertical="center"/>
    </xf>
    <xf numFmtId="164" fontId="39" fillId="0" borderId="15" xfId="63" applyFont="1" applyFill="1" applyBorder="1" applyAlignment="1" applyProtection="1">
      <alignment horizontal="center" vertical="center"/>
    </xf>
    <xf numFmtId="164" fontId="39" fillId="0" borderId="0" xfId="63" applyFont="1" applyFill="1" applyBorder="1" applyAlignment="1" applyProtection="1">
      <alignment vertical="center"/>
    </xf>
    <xf numFmtId="164" fontId="38" fillId="0" borderId="0" xfId="63" applyFont="1" applyBorder="1" applyAlignment="1" applyProtection="1"/>
    <xf numFmtId="164" fontId="40" fillId="0" borderId="0" xfId="63" applyFont="1" applyFill="1" applyBorder="1" applyAlignment="1" applyProtection="1">
      <alignment vertical="center"/>
    </xf>
    <xf numFmtId="0" fontId="14" fillId="0" borderId="0" xfId="0" applyFont="1" applyBorder="1" applyAlignment="1" applyProtection="1">
      <alignment horizontal="center"/>
    </xf>
    <xf numFmtId="1" fontId="21" fillId="20" borderId="16" xfId="0" applyNumberFormat="1" applyFont="1" applyFill="1" applyBorder="1" applyAlignment="1" applyProtection="1">
      <alignment horizontal="center"/>
    </xf>
    <xf numFmtId="1" fontId="21" fillId="20" borderId="17" xfId="0" applyNumberFormat="1" applyFont="1" applyFill="1" applyBorder="1" applyAlignment="1" applyProtection="1">
      <alignment horizontal="center"/>
    </xf>
    <xf numFmtId="0" fontId="0" fillId="0" borderId="18" xfId="0" applyBorder="1" applyProtection="1"/>
    <xf numFmtId="0" fontId="0" fillId="0" borderId="0" xfId="0" applyFill="1" applyBorder="1" applyAlignment="1" applyProtection="1">
      <alignment horizontal="center" wrapText="1"/>
    </xf>
    <xf numFmtId="164" fontId="100" fillId="0" borderId="0" xfId="37" applyFont="1" applyFill="1" applyBorder="1" applyProtection="1"/>
    <xf numFmtId="164" fontId="0" fillId="0" borderId="0" xfId="0" applyNumberFormat="1" applyFill="1" applyBorder="1" applyProtection="1"/>
    <xf numFmtId="164" fontId="68" fillId="0" borderId="19" xfId="63" applyFont="1" applyFill="1" applyBorder="1" applyAlignment="1" applyProtection="1"/>
    <xf numFmtId="164" fontId="39" fillId="0" borderId="19" xfId="63" applyFont="1" applyFill="1" applyBorder="1" applyAlignment="1" applyProtection="1">
      <alignment vertical="center"/>
    </xf>
    <xf numFmtId="3" fontId="67" fillId="21" borderId="10" xfId="0" applyNumberFormat="1" applyFont="1" applyFill="1" applyBorder="1" applyAlignment="1" applyProtection="1">
      <alignment vertical="center"/>
      <protection locked="0"/>
    </xf>
    <xf numFmtId="3" fontId="67" fillId="21" borderId="20" xfId="0" applyNumberFormat="1" applyFont="1" applyFill="1" applyBorder="1" applyAlignment="1" applyProtection="1">
      <alignment vertical="center"/>
      <protection locked="0"/>
    </xf>
    <xf numFmtId="164" fontId="28" fillId="0" borderId="0" xfId="0" applyNumberFormat="1" applyFont="1" applyAlignment="1" applyProtection="1">
      <alignment horizontal="right"/>
    </xf>
    <xf numFmtId="166" fontId="28" fillId="0" borderId="0" xfId="37"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4" fontId="28" fillId="0" borderId="0" xfId="0" applyNumberFormat="1" applyFont="1" applyProtection="1"/>
    <xf numFmtId="164" fontId="28" fillId="0" borderId="0" xfId="0" applyNumberFormat="1" applyFont="1" applyBorder="1" applyProtection="1"/>
    <xf numFmtId="164" fontId="28" fillId="0" borderId="0" xfId="0" applyNumberFormat="1" applyFont="1" applyBorder="1" applyAlignment="1" applyProtection="1">
      <alignment horizontal="right"/>
    </xf>
    <xf numFmtId="166" fontId="28" fillId="0" borderId="0" xfId="37"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3" fontId="28" fillId="0" borderId="10"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7"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9"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8" fontId="52" fillId="20" borderId="0" xfId="58"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21" xfId="0" applyNumberFormat="1" applyFont="1" applyFill="1" applyBorder="1" applyAlignment="1" applyProtection="1">
      <alignment horizontal="right"/>
    </xf>
    <xf numFmtId="0" fontId="53" fillId="0" borderId="22" xfId="0" applyNumberFormat="1" applyFont="1" applyFill="1" applyBorder="1" applyAlignment="1" applyProtection="1">
      <alignment horizontal="right"/>
    </xf>
    <xf numFmtId="0" fontId="53" fillId="0" borderId="23"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24" xfId="0" applyNumberFormat="1" applyFont="1" applyFill="1" applyBorder="1" applyAlignment="1" applyProtection="1">
      <alignment horizontal="right"/>
    </xf>
    <xf numFmtId="9" fontId="55" fillId="0" borderId="0" xfId="0" applyNumberFormat="1" applyFont="1" applyFill="1" applyBorder="1" applyProtection="1"/>
    <xf numFmtId="0" fontId="53" fillId="0" borderId="25" xfId="0" applyNumberFormat="1" applyFont="1" applyFill="1" applyBorder="1" applyAlignment="1" applyProtection="1">
      <alignment horizontal="right"/>
    </xf>
    <xf numFmtId="0" fontId="53" fillId="0" borderId="26" xfId="0" applyNumberFormat="1" applyFont="1" applyFill="1" applyBorder="1" applyAlignment="1" applyProtection="1">
      <alignment horizontal="right"/>
    </xf>
    <xf numFmtId="0" fontId="34" fillId="0" borderId="27" xfId="0" applyNumberFormat="1" applyFont="1" applyFill="1" applyBorder="1" applyAlignment="1" applyProtection="1">
      <alignment vertical="center"/>
    </xf>
    <xf numFmtId="0" fontId="34" fillId="0" borderId="28" xfId="0" applyNumberFormat="1" applyFont="1" applyFill="1" applyBorder="1" applyAlignment="1" applyProtection="1">
      <alignment vertical="center"/>
    </xf>
    <xf numFmtId="0" fontId="34" fillId="0" borderId="29"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4"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164" fontId="37" fillId="0" borderId="0" xfId="0" applyNumberFormat="1" applyFont="1" applyBorder="1" applyProtection="1"/>
    <xf numFmtId="166" fontId="6" fillId="0" borderId="0" xfId="37" applyNumberFormat="1" applyFont="1" applyFill="1" applyBorder="1" applyAlignment="1" applyProtection="1">
      <protection locked="0"/>
    </xf>
    <xf numFmtId="166" fontId="6" fillId="0" borderId="0" xfId="37"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0" fillId="0" borderId="30" xfId="0" applyBorder="1" applyProtection="1"/>
    <xf numFmtId="164" fontId="17" fillId="0" borderId="0" xfId="48" applyFont="1" applyFill="1" applyAlignment="1" applyProtection="1">
      <alignment horizontal="center" vertical="center"/>
    </xf>
    <xf numFmtId="164" fontId="16" fillId="0" borderId="0" xfId="48" applyFont="1" applyFill="1" applyAlignment="1" applyProtection="1">
      <alignment vertical="center"/>
    </xf>
    <xf numFmtId="0" fontId="84" fillId="0" borderId="0" xfId="0" applyFont="1"/>
    <xf numFmtId="164" fontId="14" fillId="0" borderId="0" xfId="0" applyNumberFormat="1" applyFont="1" applyAlignment="1" applyProtection="1">
      <alignment horizontal="center"/>
    </xf>
    <xf numFmtId="164" fontId="20" fillId="0" borderId="31" xfId="60" applyFont="1" applyBorder="1" applyAlignment="1" applyProtection="1">
      <alignment horizontal="right"/>
    </xf>
    <xf numFmtId="0" fontId="12" fillId="0" borderId="0" xfId="0" applyFont="1"/>
    <xf numFmtId="0" fontId="0" fillId="20" borderId="0" xfId="0" applyFill="1" applyProtection="1"/>
    <xf numFmtId="0" fontId="0" fillId="20" borderId="32" xfId="0" applyFill="1" applyBorder="1" applyProtection="1"/>
    <xf numFmtId="164" fontId="90" fillId="0" borderId="0" xfId="0" applyNumberFormat="1" applyFont="1"/>
    <xf numFmtId="0" fontId="90" fillId="0" borderId="0" xfId="0" applyFont="1"/>
    <xf numFmtId="164" fontId="0" fillId="0" borderId="0" xfId="0" quotePrefix="1" applyNumberFormat="1"/>
    <xf numFmtId="164" fontId="0" fillId="0" borderId="0" xfId="0" applyNumberFormat="1"/>
    <xf numFmtId="0" fontId="34" fillId="0" borderId="33" xfId="0" applyNumberFormat="1" applyFont="1" applyFill="1" applyBorder="1" applyAlignment="1" applyProtection="1">
      <alignment vertical="center"/>
    </xf>
    <xf numFmtId="164" fontId="135" fillId="0" borderId="0" xfId="54" applyFill="1" applyBorder="1" applyAlignment="1" applyProtection="1">
      <alignment horizontal="center"/>
    </xf>
    <xf numFmtId="0" fontId="34" fillId="0" borderId="0" xfId="0" quotePrefix="1" applyFont="1" applyProtection="1"/>
    <xf numFmtId="0" fontId="63" fillId="0" borderId="34" xfId="0" applyFont="1" applyBorder="1" applyAlignment="1">
      <alignment horizontal="justify" vertical="center" wrapText="1"/>
    </xf>
    <xf numFmtId="0" fontId="63" fillId="0" borderId="35" xfId="0" applyFont="1" applyBorder="1" applyAlignment="1">
      <alignment horizontal="justify" vertical="center" wrapText="1"/>
    </xf>
    <xf numFmtId="0" fontId="63" fillId="0" borderId="36" xfId="0" applyFont="1" applyBorder="1" applyAlignment="1">
      <alignment horizontal="justify" vertical="center" wrapText="1"/>
    </xf>
    <xf numFmtId="0" fontId="89" fillId="0" borderId="35" xfId="0" applyFont="1" applyBorder="1" applyAlignment="1">
      <alignment horizontal="justify" vertical="center" wrapText="1"/>
    </xf>
    <xf numFmtId="164" fontId="92" fillId="0" borderId="19" xfId="63" applyFont="1" applyFill="1" applyBorder="1" applyAlignment="1" applyProtection="1"/>
    <xf numFmtId="164" fontId="9" fillId="0" borderId="19" xfId="63" applyFont="1" applyFill="1" applyBorder="1" applyAlignment="1" applyProtection="1">
      <alignment vertical="center"/>
    </xf>
    <xf numFmtId="0" fontId="88" fillId="0" borderId="34" xfId="0" applyFont="1" applyBorder="1" applyAlignment="1">
      <alignment vertical="center" wrapText="1"/>
    </xf>
    <xf numFmtId="0" fontId="88" fillId="0" borderId="35" xfId="0" applyFont="1" applyBorder="1" applyAlignment="1">
      <alignment vertical="center" wrapText="1"/>
    </xf>
    <xf numFmtId="0" fontId="2" fillId="0" borderId="37" xfId="0" applyFont="1" applyFill="1" applyBorder="1" applyAlignment="1" applyProtection="1">
      <alignment horizontal="center"/>
    </xf>
    <xf numFmtId="0" fontId="1" fillId="0" borderId="0" xfId="0" applyFont="1"/>
    <xf numFmtId="0" fontId="95" fillId="0" borderId="0" xfId="0" applyFont="1"/>
    <xf numFmtId="0" fontId="63" fillId="21" borderId="34" xfId="0" applyFont="1" applyFill="1" applyBorder="1" applyAlignment="1">
      <alignment horizontal="justify" vertical="center" wrapText="1"/>
    </xf>
    <xf numFmtId="0" fontId="89" fillId="21" borderId="35" xfId="0" applyFont="1" applyFill="1" applyBorder="1" applyAlignment="1">
      <alignment horizontal="justify" vertical="center" wrapText="1"/>
    </xf>
    <xf numFmtId="0" fontId="89" fillId="21" borderId="36" xfId="0" applyFont="1" applyFill="1" applyBorder="1" applyAlignment="1">
      <alignment horizontal="justify" vertical="center" wrapText="1"/>
    </xf>
    <xf numFmtId="0" fontId="63" fillId="0" borderId="34" xfId="0" applyFont="1" applyBorder="1" applyAlignment="1" applyProtection="1">
      <alignment horizontal="justify" vertical="center" wrapText="1"/>
      <protection locked="0"/>
    </xf>
    <xf numFmtId="0" fontId="89" fillId="0" borderId="35" xfId="0" applyFont="1" applyBorder="1" applyAlignment="1" applyProtection="1">
      <alignment horizontal="justify" vertical="center" wrapText="1"/>
      <protection locked="0"/>
    </xf>
    <xf numFmtId="0" fontId="89" fillId="0" borderId="36" xfId="0" applyFont="1" applyBorder="1" applyAlignment="1" applyProtection="1">
      <alignment horizontal="justify" vertical="center" wrapText="1"/>
      <protection locked="0"/>
    </xf>
    <xf numFmtId="164" fontId="97" fillId="0" borderId="19" xfId="63"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2" borderId="10" xfId="0" applyNumberFormat="1" applyFont="1" applyFill="1" applyBorder="1" applyAlignment="1" applyProtection="1">
      <alignment horizontal="center"/>
      <protection locked="0"/>
    </xf>
    <xf numFmtId="1" fontId="21" fillId="22" borderId="38" xfId="0" applyNumberFormat="1" applyFont="1" applyFill="1" applyBorder="1" applyAlignment="1" applyProtection="1">
      <alignment horizontal="center"/>
      <protection locked="0"/>
    </xf>
    <xf numFmtId="1" fontId="0" fillId="22" borderId="10" xfId="0" applyNumberFormat="1" applyFill="1" applyBorder="1" applyAlignment="1" applyProtection="1">
      <alignment horizontal="center"/>
      <protection locked="0"/>
    </xf>
    <xf numFmtId="166" fontId="0" fillId="0" borderId="0" xfId="0" applyNumberFormat="1" applyProtection="1"/>
    <xf numFmtId="0" fontId="63" fillId="0" borderId="34" xfId="0" applyFont="1" applyBorder="1" applyAlignment="1" applyProtection="1">
      <alignment horizontal="left" vertical="center" wrapText="1"/>
      <protection locked="0"/>
    </xf>
    <xf numFmtId="0" fontId="63" fillId="0" borderId="35" xfId="0" applyFont="1" applyBorder="1" applyAlignment="1" applyProtection="1">
      <alignment horizontal="left" vertical="center" wrapText="1"/>
      <protection locked="0"/>
    </xf>
    <xf numFmtId="0" fontId="63" fillId="0" borderId="36" xfId="0" applyFont="1" applyBorder="1" applyAlignment="1" applyProtection="1">
      <alignment horizontal="left" vertical="center" wrapText="1"/>
      <protection locked="0"/>
    </xf>
    <xf numFmtId="164" fontId="20" fillId="0" borderId="0" xfId="52" applyFont="1" applyFill="1" applyAlignment="1" applyProtection="1">
      <alignment horizontal="right" vertical="center"/>
    </xf>
    <xf numFmtId="0" fontId="102" fillId="0" borderId="0" xfId="0" applyFont="1" applyFill="1" applyBorder="1" applyAlignment="1" applyProtection="1">
      <alignment horizontal="right"/>
    </xf>
    <xf numFmtId="0" fontId="63" fillId="21" borderId="34" xfId="0" applyFont="1" applyFill="1" applyBorder="1" applyAlignment="1">
      <alignment horizontal="left" vertical="center" wrapText="1"/>
    </xf>
    <xf numFmtId="0" fontId="63" fillId="21" borderId="35" xfId="0" applyFont="1" applyFill="1" applyBorder="1" applyAlignment="1">
      <alignment horizontal="left" vertical="center" wrapText="1"/>
    </xf>
    <xf numFmtId="0" fontId="63" fillId="21" borderId="36" xfId="0" applyFont="1" applyFill="1" applyBorder="1" applyAlignment="1">
      <alignment horizontal="left" vertical="center" wrapText="1"/>
    </xf>
    <xf numFmtId="164" fontId="103" fillId="0" borderId="13" xfId="63" applyFont="1" applyFill="1" applyBorder="1" applyAlignment="1" applyProtection="1">
      <alignment horizontal="left" vertical="center"/>
    </xf>
    <xf numFmtId="0" fontId="104" fillId="0" borderId="0" xfId="0" applyFont="1" applyFill="1" applyBorder="1" applyProtection="1"/>
    <xf numFmtId="0" fontId="102" fillId="0" borderId="0" xfId="0" applyFont="1" applyBorder="1" applyProtection="1"/>
    <xf numFmtId="3" fontId="6" fillId="0" borderId="0" xfId="0" applyNumberFormat="1" applyFont="1" applyAlignment="1" applyProtection="1">
      <alignment horizontal="right"/>
    </xf>
    <xf numFmtId="15" fontId="101" fillId="0" borderId="0" xfId="0" applyNumberFormat="1" applyFont="1" applyFill="1" applyBorder="1" applyAlignment="1" applyProtection="1">
      <alignment horizontal="left"/>
    </xf>
    <xf numFmtId="0" fontId="108" fillId="0" borderId="0" xfId="0" applyFont="1" applyFill="1" applyBorder="1" applyAlignment="1" applyProtection="1">
      <alignment horizontal="center" wrapText="1"/>
    </xf>
    <xf numFmtId="0" fontId="102" fillId="0" borderId="0" xfId="0" applyFont="1" applyFill="1" applyBorder="1" applyAlignment="1" applyProtection="1">
      <alignment horizontal="center"/>
    </xf>
    <xf numFmtId="3" fontId="2" fillId="21" borderId="10" xfId="0" applyNumberFormat="1" applyFont="1" applyFill="1" applyBorder="1" applyAlignment="1" applyProtection="1">
      <alignment vertical="center"/>
      <protection locked="0"/>
    </xf>
    <xf numFmtId="0" fontId="0" fillId="0" borderId="0" xfId="0" quotePrefix="1" applyProtection="1"/>
    <xf numFmtId="15" fontId="29" fillId="0" borderId="0" xfId="0" applyNumberFormat="1" applyFont="1" applyFill="1" applyBorder="1" applyAlignment="1" applyProtection="1">
      <alignment horizontal="center" vertical="center" wrapText="1"/>
    </xf>
    <xf numFmtId="0" fontId="114" fillId="0" borderId="0" xfId="0" applyFont="1" applyAlignment="1" applyProtection="1">
      <alignment horizontal="right"/>
    </xf>
    <xf numFmtId="164" fontId="113" fillId="0" borderId="0" xfId="40"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60"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2" fillId="0" borderId="0" xfId="0" applyNumberFormat="1" applyFont="1" applyFill="1" applyBorder="1" applyAlignment="1" applyProtection="1">
      <alignment horizontal="center"/>
    </xf>
    <xf numFmtId="0" fontId="0" fillId="0" borderId="0" xfId="0" applyFill="1" applyBorder="1" applyProtection="1">
      <protection locked="0"/>
    </xf>
    <xf numFmtId="0" fontId="99" fillId="0" borderId="0" xfId="0" applyFont="1" applyFill="1" applyBorder="1" applyAlignment="1" applyProtection="1">
      <alignment horizontal="center" vertical="center"/>
    </xf>
    <xf numFmtId="0" fontId="25" fillId="0" borderId="39" xfId="0" applyFont="1" applyBorder="1" applyAlignment="1" applyProtection="1">
      <alignment vertical="distributed"/>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6" fillId="0" borderId="0" xfId="0" applyFont="1" applyFill="1" applyBorder="1" applyAlignment="1" applyProtection="1">
      <alignment horizontal="center" vertical="center"/>
    </xf>
    <xf numFmtId="0" fontId="32" fillId="23" borderId="40" xfId="0" applyFont="1" applyFill="1" applyBorder="1" applyAlignment="1" applyProtection="1">
      <alignment horizontal="centerContinuous"/>
    </xf>
    <xf numFmtId="0" fontId="37" fillId="0" borderId="41" xfId="0" applyFont="1" applyFill="1" applyBorder="1" applyAlignment="1" applyProtection="1">
      <alignment horizontal="center"/>
    </xf>
    <xf numFmtId="0" fontId="37" fillId="0" borderId="42" xfId="0" applyFont="1" applyFill="1" applyBorder="1" applyAlignment="1" applyProtection="1">
      <alignment horizontal="center"/>
    </xf>
    <xf numFmtId="0" fontId="32" fillId="23" borderId="43"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1"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16" xfId="0" applyNumberFormat="1" applyFill="1" applyBorder="1" applyAlignment="1" applyProtection="1">
      <alignment horizontal="center"/>
    </xf>
    <xf numFmtId="1" fontId="0" fillId="22" borderId="38" xfId="0" applyNumberFormat="1" applyFill="1" applyBorder="1" applyAlignment="1" applyProtection="1">
      <alignment horizontal="center"/>
      <protection locked="0"/>
    </xf>
    <xf numFmtId="0" fontId="24" fillId="0" borderId="0" xfId="0" applyFont="1" applyProtection="1"/>
    <xf numFmtId="164"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164" fontId="20" fillId="0" borderId="31" xfId="60" applyFont="1" applyFill="1" applyBorder="1" applyAlignment="1" applyProtection="1">
      <alignment horizontal="right"/>
    </xf>
    <xf numFmtId="0" fontId="21" fillId="20" borderId="34" xfId="0" applyFont="1" applyFill="1" applyBorder="1" applyAlignment="1" applyProtection="1"/>
    <xf numFmtId="0" fontId="21" fillId="20" borderId="44" xfId="0" applyFont="1" applyFill="1" applyBorder="1" applyAlignment="1" applyProtection="1"/>
    <xf numFmtId="0" fontId="28" fillId="0" borderId="0" xfId="0" applyFont="1" applyFill="1" applyBorder="1" applyAlignment="1" applyProtection="1">
      <alignment wrapText="1"/>
    </xf>
    <xf numFmtId="164" fontId="28" fillId="0" borderId="0" xfId="0" applyNumberFormat="1" applyFont="1" applyAlignment="1" applyProtection="1"/>
    <xf numFmtId="15" fontId="28" fillId="0" borderId="0" xfId="0" applyNumberFormat="1" applyFont="1"/>
    <xf numFmtId="0" fontId="0" fillId="0" borderId="19" xfId="0" applyFill="1" applyBorder="1" applyProtection="1"/>
    <xf numFmtId="0" fontId="0" fillId="0" borderId="19" xfId="0" applyBorder="1" applyProtection="1"/>
    <xf numFmtId="0" fontId="0" fillId="0" borderId="19" xfId="0" applyBorder="1"/>
    <xf numFmtId="9" fontId="15" fillId="0" borderId="0" xfId="58" applyFont="1" applyProtection="1"/>
    <xf numFmtId="14" fontId="24" fillId="22" borderId="31" xfId="60" applyNumberFormat="1" applyFont="1" applyFill="1" applyBorder="1" applyAlignment="1" applyProtection="1">
      <alignment horizontal="center" vertical="center"/>
    </xf>
    <xf numFmtId="164" fontId="24" fillId="22" borderId="31" xfId="60" applyFont="1" applyFill="1" applyBorder="1" applyAlignment="1" applyProtection="1">
      <alignment horizontal="center" vertical="center"/>
    </xf>
    <xf numFmtId="15" fontId="24" fillId="22" borderId="31" xfId="60" applyNumberFormat="1" applyFont="1" applyFill="1" applyBorder="1" applyAlignment="1" applyProtection="1">
      <alignment horizontal="center" vertical="center"/>
    </xf>
    <xf numFmtId="172" fontId="24" fillId="22" borderId="31" xfId="60" applyNumberFormat="1" applyFont="1" applyFill="1" applyBorder="1" applyAlignment="1" applyProtection="1">
      <alignment horizontal="center"/>
    </xf>
    <xf numFmtId="3" fontId="24" fillId="22" borderId="31" xfId="60" applyNumberFormat="1" applyFont="1" applyFill="1" applyBorder="1" applyAlignment="1" applyProtection="1">
      <alignment horizontal="center"/>
    </xf>
    <xf numFmtId="164" fontId="24" fillId="22" borderId="31" xfId="60" applyFont="1" applyFill="1" applyBorder="1" applyAlignment="1" applyProtection="1">
      <alignment horizontal="center"/>
    </xf>
    <xf numFmtId="15" fontId="24" fillId="22" borderId="31" xfId="60" applyNumberFormat="1" applyFont="1" applyFill="1" applyBorder="1" applyAlignment="1" applyProtection="1">
      <alignment horizontal="center"/>
    </xf>
    <xf numFmtId="164" fontId="90" fillId="0" borderId="0" xfId="0" applyNumberFormat="1" applyFont="1" applyAlignment="1"/>
    <xf numFmtId="49" fontId="0" fillId="0" borderId="0" xfId="0" applyNumberFormat="1" applyProtection="1"/>
    <xf numFmtId="0" fontId="0" fillId="22" borderId="38" xfId="0" applyNumberFormat="1" applyFill="1" applyBorder="1" applyAlignment="1" applyProtection="1">
      <alignment horizontal="center"/>
      <protection locked="0"/>
    </xf>
    <xf numFmtId="0" fontId="0" fillId="0" borderId="17" xfId="0" applyNumberFormat="1" applyFill="1" applyBorder="1" applyAlignment="1" applyProtection="1">
      <alignment horizontal="center"/>
    </xf>
    <xf numFmtId="0" fontId="0" fillId="22" borderId="17" xfId="0" applyNumberFormat="1" applyFill="1" applyBorder="1" applyAlignment="1" applyProtection="1">
      <alignment horizontal="center"/>
      <protection locked="0"/>
    </xf>
    <xf numFmtId="3" fontId="0" fillId="22"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1" fillId="0" borderId="10" xfId="37" applyNumberFormat="1" applyFont="1" applyFill="1" applyBorder="1" applyAlignment="1" applyProtection="1">
      <alignment horizontal="right"/>
    </xf>
    <xf numFmtId="3" fontId="0" fillId="22" borderId="10" xfId="0" applyNumberFormat="1" applyFill="1" applyBorder="1" applyProtection="1">
      <protection locked="0"/>
    </xf>
    <xf numFmtId="3" fontId="0" fillId="0" borderId="10" xfId="0" applyNumberFormat="1" applyFill="1" applyBorder="1" applyProtection="1"/>
    <xf numFmtId="3" fontId="0" fillId="22" borderId="45" xfId="0" applyNumberFormat="1" applyFill="1" applyBorder="1" applyProtection="1">
      <protection locked="0"/>
    </xf>
    <xf numFmtId="171" fontId="21" fillId="20" borderId="0" xfId="0" applyNumberFormat="1" applyFont="1" applyFill="1"/>
    <xf numFmtId="171"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 fontId="0" fillId="23" borderId="10" xfId="0" applyNumberFormat="1" applyFill="1" applyBorder="1" applyAlignment="1" applyProtection="1">
      <alignment horizontal="center"/>
      <protection locked="0"/>
    </xf>
    <xf numFmtId="1" fontId="0" fillId="23" borderId="46" xfId="0" applyNumberFormat="1" applyFill="1" applyBorder="1" applyAlignment="1" applyProtection="1">
      <alignment horizontal="center"/>
      <protection locked="0"/>
    </xf>
    <xf numFmtId="1" fontId="0" fillId="23" borderId="47" xfId="0" applyNumberFormat="1" applyFill="1" applyBorder="1" applyAlignment="1" applyProtection="1">
      <alignment horizontal="center"/>
      <protection locked="0"/>
    </xf>
    <xf numFmtId="1" fontId="0" fillId="23" borderId="48" xfId="0" applyNumberFormat="1" applyFill="1" applyBorder="1" applyAlignment="1" applyProtection="1">
      <alignment horizontal="center"/>
      <protection locked="0"/>
    </xf>
    <xf numFmtId="165" fontId="32" fillId="19" borderId="49" xfId="0" applyNumberFormat="1" applyFont="1" applyFill="1" applyBorder="1" applyAlignment="1" applyProtection="1">
      <alignment horizontal="center"/>
      <protection locked="0"/>
    </xf>
    <xf numFmtId="165" fontId="32" fillId="19" borderId="50" xfId="0" applyNumberFormat="1" applyFont="1" applyFill="1" applyBorder="1" applyAlignment="1" applyProtection="1">
      <alignment horizontal="center"/>
      <protection locked="0"/>
    </xf>
    <xf numFmtId="165" fontId="32" fillId="19" borderId="51" xfId="0" applyNumberFormat="1" applyFont="1" applyFill="1" applyBorder="1" applyAlignment="1" applyProtection="1">
      <alignment horizontal="center"/>
      <protection locked="0"/>
    </xf>
    <xf numFmtId="165" fontId="32" fillId="19" borderId="52" xfId="0" applyNumberFormat="1" applyFont="1" applyFill="1" applyBorder="1" applyAlignment="1" applyProtection="1">
      <alignment horizontal="center"/>
      <protection locked="0"/>
    </xf>
    <xf numFmtId="0" fontId="0" fillId="0" borderId="0" xfId="0" applyBorder="1" applyAlignment="1">
      <alignment horizontal="left" wrapText="1"/>
    </xf>
    <xf numFmtId="164" fontId="35" fillId="0" borderId="0" xfId="0" applyNumberFormat="1" applyFont="1"/>
    <xf numFmtId="0" fontId="0" fillId="0" borderId="0" xfId="0" applyBorder="1" applyAlignment="1">
      <alignment horizontal="left"/>
    </xf>
    <xf numFmtId="164" fontId="1" fillId="0" borderId="31" xfId="60" applyFont="1" applyBorder="1" applyAlignment="1" applyProtection="1">
      <alignment horizontal="right"/>
    </xf>
    <xf numFmtId="164" fontId="121" fillId="0" borderId="0" xfId="53" applyFont="1" applyFill="1" applyBorder="1" applyProtection="1"/>
    <xf numFmtId="3" fontId="28" fillId="23" borderId="49" xfId="0" applyNumberFormat="1" applyFont="1" applyFill="1" applyBorder="1" applyAlignment="1" applyProtection="1">
      <protection locked="0"/>
    </xf>
    <xf numFmtId="3" fontId="28" fillId="23" borderId="53"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47" xfId="0" applyNumberFormat="1" applyFont="1" applyFill="1" applyBorder="1" applyAlignment="1" applyProtection="1"/>
    <xf numFmtId="3" fontId="21" fillId="23" borderId="10" xfId="37" applyNumberFormat="1" applyFont="1" applyFill="1" applyBorder="1" applyAlignment="1" applyProtection="1">
      <protection locked="0"/>
    </xf>
    <xf numFmtId="3" fontId="21" fillId="23" borderId="10" xfId="37" applyNumberFormat="1" applyFont="1" applyFill="1" applyBorder="1" applyProtection="1">
      <protection locked="0"/>
    </xf>
    <xf numFmtId="3" fontId="6" fillId="0" borderId="54" xfId="37" applyNumberFormat="1" applyFont="1" applyFill="1" applyBorder="1" applyAlignment="1" applyProtection="1"/>
    <xf numFmtId="3" fontId="21" fillId="23" borderId="55" xfId="37" applyNumberFormat="1" applyFont="1" applyFill="1" applyBorder="1" applyAlignment="1" applyProtection="1">
      <protection locked="0"/>
    </xf>
    <xf numFmtId="3" fontId="6" fillId="0" borderId="56" xfId="37" applyNumberFormat="1" applyFont="1" applyFill="1" applyBorder="1" applyAlignment="1" applyProtection="1"/>
    <xf numFmtId="165" fontId="14" fillId="19" borderId="57" xfId="0" applyNumberFormat="1" applyFont="1" applyFill="1" applyBorder="1" applyAlignment="1" applyProtection="1">
      <alignment horizontal="center"/>
      <protection locked="0"/>
    </xf>
    <xf numFmtId="165" fontId="14" fillId="19" borderId="58" xfId="0" applyNumberFormat="1" applyFont="1" applyFill="1" applyBorder="1" applyAlignment="1" applyProtection="1">
      <alignment horizontal="center"/>
      <protection locked="0"/>
    </xf>
    <xf numFmtId="0" fontId="0" fillId="23" borderId="10" xfId="0" applyFill="1" applyBorder="1" applyProtection="1"/>
    <xf numFmtId="0" fontId="0" fillId="22" borderId="10" xfId="0" applyFill="1" applyBorder="1" applyProtection="1"/>
    <xf numFmtId="3" fontId="1" fillId="23" borderId="59" xfId="37" applyNumberFormat="1" applyFont="1" applyFill="1" applyBorder="1" applyAlignment="1" applyProtection="1">
      <protection locked="0"/>
    </xf>
    <xf numFmtId="3" fontId="1" fillId="23" borderId="59" xfId="37" applyNumberFormat="1" applyFont="1" applyFill="1" applyBorder="1" applyProtection="1">
      <protection locked="0"/>
    </xf>
    <xf numFmtId="0" fontId="91" fillId="0" borderId="60" xfId="0" applyNumberFormat="1" applyFont="1" applyFill="1" applyBorder="1" applyAlignment="1" applyProtection="1">
      <alignment horizontal="center" vertical="center" wrapText="1"/>
    </xf>
    <xf numFmtId="0" fontId="91" fillId="0" borderId="61" xfId="0" applyNumberFormat="1" applyFont="1" applyFill="1" applyBorder="1" applyAlignment="1" applyProtection="1">
      <alignment horizontal="center" vertical="center" wrapText="1"/>
    </xf>
    <xf numFmtId="3" fontId="1" fillId="23" borderId="62" xfId="37" applyNumberFormat="1" applyFont="1" applyFill="1" applyBorder="1" applyProtection="1">
      <protection locked="0"/>
    </xf>
    <xf numFmtId="49" fontId="26" fillId="0" borderId="63" xfId="0" applyNumberFormat="1" applyFont="1" applyFill="1" applyBorder="1" applyAlignment="1" applyProtection="1">
      <protection locked="0"/>
    </xf>
    <xf numFmtId="0" fontId="26" fillId="0" borderId="63" xfId="0" applyFont="1" applyFill="1" applyBorder="1" applyAlignment="1" applyProtection="1">
      <alignment wrapText="1"/>
      <protection locked="0"/>
    </xf>
    <xf numFmtId="3" fontId="0" fillId="0" borderId="64" xfId="0" applyNumberFormat="1" applyBorder="1" applyProtection="1"/>
    <xf numFmtId="3" fontId="0" fillId="0" borderId="65" xfId="0" applyNumberFormat="1" applyBorder="1" applyProtection="1"/>
    <xf numFmtId="0" fontId="0" fillId="22" borderId="10" xfId="0" applyNumberFormat="1" applyFill="1" applyBorder="1" applyProtection="1">
      <protection locked="0"/>
    </xf>
    <xf numFmtId="0" fontId="0" fillId="0" borderId="10" xfId="0" applyNumberFormat="1" applyFill="1" applyBorder="1" applyProtection="1"/>
    <xf numFmtId="0" fontId="0" fillId="22" borderId="10" xfId="0" applyNumberFormat="1" applyFill="1" applyBorder="1" applyAlignment="1" applyProtection="1">
      <alignment horizontal="center"/>
      <protection locked="0"/>
    </xf>
    <xf numFmtId="49" fontId="0" fillId="22" borderId="45" xfId="0" applyNumberFormat="1" applyFill="1" applyBorder="1" applyAlignment="1" applyProtection="1">
      <alignment horizontal="left"/>
      <protection locked="0"/>
    </xf>
    <xf numFmtId="0" fontId="0" fillId="22" borderId="45" xfId="0" applyNumberFormat="1" applyFill="1" applyBorder="1" applyProtection="1">
      <protection locked="0"/>
    </xf>
    <xf numFmtId="0" fontId="0" fillId="22" borderId="45" xfId="0" applyNumberFormat="1" applyFill="1" applyBorder="1" applyAlignment="1" applyProtection="1">
      <alignment horizontal="center"/>
      <protection locked="0"/>
    </xf>
    <xf numFmtId="164" fontId="135" fillId="23" borderId="66" xfId="63" applyFill="1" applyBorder="1" applyAlignment="1" applyProtection="1">
      <alignment vertical="center"/>
    </xf>
    <xf numFmtId="0" fontId="0" fillId="21" borderId="67" xfId="0" applyFill="1" applyBorder="1"/>
    <xf numFmtId="0" fontId="0" fillId="0" borderId="15" xfId="0" applyBorder="1" applyProtection="1"/>
    <xf numFmtId="164" fontId="39" fillId="22" borderId="68" xfId="63" applyFont="1" applyFill="1" applyBorder="1" applyAlignment="1" applyProtection="1">
      <alignment horizontal="center" vertical="center"/>
    </xf>
    <xf numFmtId="164" fontId="39" fillId="0" borderId="69" xfId="63" applyFont="1" applyFill="1" applyBorder="1" applyAlignment="1" applyProtection="1">
      <alignment vertical="center"/>
    </xf>
    <xf numFmtId="15" fontId="27" fillId="0" borderId="70" xfId="0" applyNumberFormat="1" applyFont="1" applyFill="1" applyBorder="1" applyAlignment="1" applyProtection="1">
      <alignment horizontal="center" vertical="center" wrapText="1"/>
    </xf>
    <xf numFmtId="3" fontId="0" fillId="0" borderId="0" xfId="0" applyNumberFormat="1" applyFill="1" applyBorder="1" applyProtection="1">
      <protection locked="0"/>
    </xf>
    <xf numFmtId="3" fontId="67" fillId="0" borderId="10" xfId="0" applyNumberFormat="1" applyFont="1" applyFill="1" applyBorder="1" applyAlignment="1" applyProtection="1">
      <alignment vertical="center"/>
    </xf>
    <xf numFmtId="3" fontId="67" fillId="0" borderId="71" xfId="0" applyNumberFormat="1" applyFont="1" applyFill="1" applyBorder="1" applyAlignment="1" applyProtection="1">
      <alignment vertical="center"/>
    </xf>
    <xf numFmtId="168" fontId="0" fillId="0" borderId="10" xfId="0" applyNumberFormat="1" applyFill="1" applyBorder="1" applyAlignment="1" applyProtection="1">
      <alignment horizontal="center"/>
    </xf>
    <xf numFmtId="168" fontId="0" fillId="0" borderId="10" xfId="0" applyNumberFormat="1" applyFill="1" applyBorder="1" applyProtection="1"/>
    <xf numFmtId="0" fontId="69" fillId="0" borderId="10" xfId="0" applyFont="1" applyBorder="1" applyAlignment="1" applyProtection="1">
      <alignment horizontal="center"/>
    </xf>
    <xf numFmtId="0" fontId="26" fillId="0" borderId="0" xfId="0" applyFont="1"/>
    <xf numFmtId="0" fontId="124" fillId="0" borderId="0" xfId="55" applyNumberFormat="1" applyFont="1" applyFill="1" applyBorder="1" applyAlignment="1">
      <alignment horizontal="center" vertical="center" wrapText="1"/>
    </xf>
    <xf numFmtId="0" fontId="124" fillId="24" borderId="72" xfId="55" applyNumberFormat="1" applyFont="1" applyFill="1" applyBorder="1" applyAlignment="1">
      <alignment horizontal="center" vertical="center" wrapText="1"/>
    </xf>
    <xf numFmtId="0" fontId="26" fillId="0" borderId="0" xfId="0" applyFont="1" applyFill="1" applyBorder="1" applyAlignment="1">
      <alignment horizontal="center"/>
    </xf>
    <xf numFmtId="0" fontId="126" fillId="0" borderId="0" xfId="0" applyFont="1" applyAlignment="1">
      <alignment horizontal="center"/>
    </xf>
    <xf numFmtId="0" fontId="127" fillId="0" borderId="0" xfId="0" applyFont="1" applyBorder="1"/>
    <xf numFmtId="0" fontId="128" fillId="19" borderId="12" xfId="0" applyFont="1" applyFill="1" applyBorder="1" applyAlignment="1">
      <alignment vertical="center"/>
    </xf>
    <xf numFmtId="0" fontId="25" fillId="0" borderId="0" xfId="0" applyFont="1"/>
    <xf numFmtId="0" fontId="34" fillId="0" borderId="10" xfId="0" applyFont="1" applyBorder="1" applyAlignment="1" applyProtection="1">
      <alignment horizontal="center" vertical="center" wrapText="1"/>
    </xf>
    <xf numFmtId="164" fontId="114" fillId="0" borderId="0" xfId="0" applyNumberFormat="1" applyFont="1" applyAlignment="1" applyProtection="1">
      <alignment horizontal="right"/>
    </xf>
    <xf numFmtId="164" fontId="1" fillId="0" borderId="10" xfId="0" applyNumberFormat="1" applyFont="1" applyBorder="1" applyAlignment="1" applyProtection="1">
      <alignment horizontal="center"/>
      <protection locked="0"/>
    </xf>
    <xf numFmtId="164" fontId="114" fillId="0" borderId="0" xfId="0" applyNumberFormat="1" applyFont="1" applyBorder="1" applyAlignment="1" applyProtection="1">
      <alignment horizontal="right"/>
    </xf>
    <xf numFmtId="164" fontId="114" fillId="0" borderId="73" xfId="0" applyNumberFormat="1" applyFont="1" applyBorder="1" applyAlignment="1" applyProtection="1">
      <alignment horizontal="right"/>
    </xf>
    <xf numFmtId="164" fontId="114" fillId="0" borderId="0" xfId="0" applyNumberFormat="1" applyFont="1" applyProtection="1"/>
    <xf numFmtId="164" fontId="84" fillId="0" borderId="10" xfId="0" applyNumberFormat="1" applyFont="1" applyBorder="1" applyAlignment="1" applyProtection="1">
      <alignment horizontal="center"/>
      <protection locked="0"/>
    </xf>
    <xf numFmtId="164" fontId="25" fillId="0" borderId="74" xfId="0" applyNumberFormat="1" applyFont="1" applyFill="1" applyBorder="1" applyAlignment="1" applyProtection="1">
      <alignment vertical="center" wrapText="1"/>
    </xf>
    <xf numFmtId="164" fontId="26" fillId="0" borderId="63" xfId="0" applyNumberFormat="1" applyFont="1" applyFill="1" applyBorder="1" applyAlignment="1" applyProtection="1">
      <alignment wrapText="1"/>
      <protection locked="0"/>
    </xf>
    <xf numFmtId="164" fontId="26" fillId="0" borderId="63" xfId="0" applyNumberFormat="1" applyFont="1" applyFill="1" applyBorder="1" applyAlignment="1" applyProtection="1">
      <protection locked="0"/>
    </xf>
    <xf numFmtId="164" fontId="1" fillId="0" borderId="75" xfId="0" applyNumberFormat="1" applyFont="1" applyBorder="1" applyAlignment="1" applyProtection="1"/>
    <xf numFmtId="164" fontId="27" fillId="0" borderId="76" xfId="0" applyNumberFormat="1" applyFont="1" applyFill="1" applyBorder="1" applyAlignment="1" applyProtection="1">
      <alignment horizontal="center" vertical="center" wrapText="1"/>
    </xf>
    <xf numFmtId="164" fontId="6" fillId="0" borderId="77" xfId="0" applyNumberFormat="1" applyFont="1" applyBorder="1" applyAlignment="1" applyProtection="1"/>
    <xf numFmtId="164" fontId="6" fillId="0" borderId="78" xfId="0" applyNumberFormat="1" applyFont="1" applyBorder="1" applyAlignment="1" applyProtection="1"/>
    <xf numFmtId="164" fontId="26" fillId="0" borderId="10" xfId="0" applyNumberFormat="1" applyFont="1" applyFill="1" applyBorder="1" applyAlignment="1" applyProtection="1">
      <alignment horizontal="center"/>
    </xf>
    <xf numFmtId="164" fontId="26" fillId="0" borderId="46" xfId="0" applyNumberFormat="1" applyFont="1" applyFill="1" applyBorder="1" applyAlignment="1" applyProtection="1">
      <alignment horizontal="center"/>
    </xf>
    <xf numFmtId="164" fontId="26" fillId="0" borderId="14" xfId="0" applyNumberFormat="1" applyFont="1" applyFill="1" applyBorder="1" applyProtection="1"/>
    <xf numFmtId="164" fontId="26" fillId="0" borderId="41" xfId="0" applyNumberFormat="1" applyFont="1" applyFill="1" applyBorder="1" applyAlignment="1" applyProtection="1"/>
    <xf numFmtId="164" fontId="26" fillId="0" borderId="79" xfId="0" applyNumberFormat="1" applyFont="1" applyFill="1" applyBorder="1" applyProtection="1"/>
    <xf numFmtId="164" fontId="129" fillId="0" borderId="15" xfId="63" applyFont="1" applyFill="1" applyBorder="1" applyAlignment="1" applyProtection="1">
      <alignment vertical="center"/>
    </xf>
    <xf numFmtId="164" fontId="14" fillId="0" borderId="80" xfId="0" applyNumberFormat="1" applyFont="1" applyBorder="1" applyAlignment="1" applyProtection="1">
      <alignment horizontal="center"/>
    </xf>
    <xf numFmtId="164" fontId="14" fillId="0" borderId="80" xfId="0" applyNumberFormat="1" applyFont="1" applyBorder="1" applyAlignment="1" applyProtection="1">
      <alignment horizontal="center" wrapText="1"/>
    </xf>
    <xf numFmtId="164" fontId="14" fillId="0" borderId="81" xfId="0" applyNumberFormat="1" applyFont="1" applyBorder="1" applyAlignment="1" applyProtection="1">
      <alignment horizontal="center"/>
    </xf>
    <xf numFmtId="164" fontId="1" fillId="0" borderId="80" xfId="0" applyNumberFormat="1" applyFont="1" applyBorder="1" applyAlignment="1" applyProtection="1">
      <alignment horizontal="center"/>
    </xf>
    <xf numFmtId="164" fontId="1" fillId="0" borderId="81" xfId="0" applyNumberFormat="1" applyFont="1" applyBorder="1" applyAlignment="1" applyProtection="1">
      <alignment horizontal="center"/>
    </xf>
    <xf numFmtId="164" fontId="1" fillId="0" borderId="81" xfId="0" applyNumberFormat="1" applyFont="1" applyBorder="1" applyAlignment="1" applyProtection="1">
      <alignment horizontal="center" wrapText="1"/>
    </xf>
    <xf numFmtId="164" fontId="32" fillId="0" borderId="80" xfId="0" applyNumberFormat="1" applyFont="1" applyBorder="1" applyAlignment="1" applyProtection="1">
      <alignment horizontal="center"/>
    </xf>
    <xf numFmtId="164" fontId="32" fillId="0" borderId="81" xfId="0" applyNumberFormat="1" applyFont="1" applyBorder="1" applyAlignment="1" applyProtection="1">
      <alignment horizontal="center"/>
    </xf>
    <xf numFmtId="165" fontId="1" fillId="0" borderId="0" xfId="0" applyNumberFormat="1" applyFont="1" applyBorder="1" applyProtection="1"/>
    <xf numFmtId="164" fontId="1" fillId="0" borderId="82" xfId="0" applyNumberFormat="1" applyFont="1" applyFill="1" applyBorder="1" applyAlignment="1" applyProtection="1">
      <alignment horizontal="center" wrapText="1"/>
    </xf>
    <xf numFmtId="164" fontId="28" fillId="0" borderId="82" xfId="0" applyNumberFormat="1" applyFont="1" applyBorder="1" applyAlignment="1">
      <alignment horizontal="center" wrapText="1"/>
    </xf>
    <xf numFmtId="164" fontId="1" fillId="0" borderId="82" xfId="0" applyNumberFormat="1" applyFont="1" applyBorder="1" applyAlignment="1">
      <alignment horizontal="center" wrapText="1"/>
    </xf>
    <xf numFmtId="164" fontId="1" fillId="0" borderId="83" xfId="0" applyNumberFormat="1" applyFont="1" applyFill="1" applyBorder="1" applyAlignment="1" applyProtection="1">
      <alignment horizontal="center" wrapText="1"/>
    </xf>
    <xf numFmtId="164" fontId="1" fillId="22" borderId="10" xfId="0" applyNumberFormat="1" applyFont="1" applyFill="1" applyBorder="1" applyProtection="1">
      <protection locked="0"/>
    </xf>
    <xf numFmtId="164" fontId="68" fillId="0" borderId="19" xfId="63" applyFont="1" applyFill="1" applyBorder="1" applyAlignment="1" applyProtection="1">
      <alignment vertical="center"/>
    </xf>
    <xf numFmtId="164" fontId="77" fillId="0" borderId="84" xfId="0" applyNumberFormat="1" applyFont="1" applyFill="1" applyBorder="1" applyAlignment="1" applyProtection="1">
      <alignment horizontal="center" vertical="center"/>
    </xf>
    <xf numFmtId="49" fontId="1" fillId="0" borderId="0" xfId="0" applyNumberFormat="1" applyFont="1" applyProtection="1"/>
    <xf numFmtId="49" fontId="77" fillId="0" borderId="84" xfId="0" applyNumberFormat="1" applyFont="1" applyFill="1" applyBorder="1" applyAlignment="1" applyProtection="1">
      <alignment horizontal="center" vertical="center"/>
    </xf>
    <xf numFmtId="0" fontId="30" fillId="21" borderId="0" xfId="0" applyNumberFormat="1" applyFont="1" applyFill="1" applyBorder="1" applyAlignment="1" applyProtection="1">
      <alignment horizontal="left"/>
      <protection locked="0"/>
    </xf>
    <xf numFmtId="0" fontId="34" fillId="21" borderId="0" xfId="0" applyNumberFormat="1" applyFont="1" applyFill="1" applyBorder="1" applyAlignment="1" applyProtection="1">
      <alignment horizontal="left"/>
      <protection locked="0"/>
    </xf>
    <xf numFmtId="164" fontId="110" fillId="0" borderId="30" xfId="0" applyNumberFormat="1" applyFont="1" applyFill="1" applyBorder="1" applyAlignment="1" applyProtection="1">
      <alignment horizontal="center" wrapText="1"/>
    </xf>
    <xf numFmtId="164" fontId="110" fillId="0" borderId="83" xfId="0" applyNumberFormat="1" applyFont="1" applyFill="1" applyBorder="1" applyAlignment="1" applyProtection="1">
      <alignment horizontal="center" wrapText="1"/>
    </xf>
    <xf numFmtId="0" fontId="34" fillId="21" borderId="0" xfId="0" applyNumberFormat="1" applyFont="1" applyFill="1" applyAlignment="1" applyProtection="1">
      <alignment horizontal="left"/>
      <protection locked="0"/>
    </xf>
    <xf numFmtId="0" fontId="28" fillId="0" borderId="82" xfId="0" applyNumberFormat="1" applyFont="1" applyFill="1" applyBorder="1" applyAlignment="1" applyProtection="1">
      <alignment horizontal="center" wrapText="1"/>
    </xf>
    <xf numFmtId="0" fontId="34" fillId="0" borderId="85" xfId="0" applyNumberFormat="1" applyFont="1" applyFill="1" applyBorder="1" applyAlignment="1" applyProtection="1">
      <alignment horizontal="center" wrapText="1"/>
    </xf>
    <xf numFmtId="0" fontId="15" fillId="0" borderId="0" xfId="0" applyNumberFormat="1" applyFont="1"/>
    <xf numFmtId="164" fontId="34" fillId="21" borderId="0" xfId="0" applyNumberFormat="1" applyFont="1" applyFill="1" applyAlignment="1" applyProtection="1">
      <alignment horizontal="left" vertical="top"/>
      <protection locked="0"/>
    </xf>
    <xf numFmtId="3" fontId="15" fillId="0" borderId="0" xfId="0" applyNumberFormat="1" applyFont="1"/>
    <xf numFmtId="3" fontId="15" fillId="20" borderId="11" xfId="0" applyNumberFormat="1" applyFont="1" applyFill="1" applyBorder="1"/>
    <xf numFmtId="0" fontId="79" fillId="19" borderId="12" xfId="0" applyNumberFormat="1" applyFont="1" applyFill="1" applyBorder="1" applyAlignment="1">
      <alignment vertical="center"/>
    </xf>
    <xf numFmtId="49" fontId="114" fillId="0" borderId="0" xfId="0" applyNumberFormat="1" applyFont="1" applyAlignment="1" applyProtection="1">
      <alignment horizontal="right"/>
    </xf>
    <xf numFmtId="0" fontId="28" fillId="0" borderId="30" xfId="0" applyFont="1" applyFill="1" applyBorder="1" applyAlignment="1" applyProtection="1">
      <alignment horizontal="center" wrapText="1"/>
    </xf>
    <xf numFmtId="0" fontId="28" fillId="0" borderId="86" xfId="0" applyFont="1" applyFill="1" applyBorder="1" applyAlignment="1" applyProtection="1">
      <alignment wrapText="1"/>
    </xf>
    <xf numFmtId="0" fontId="34" fillId="0" borderId="82" xfId="0" applyFont="1" applyFill="1" applyBorder="1" applyAlignment="1" applyProtection="1">
      <alignment horizontal="center" wrapText="1"/>
    </xf>
    <xf numFmtId="9" fontId="112" fillId="25" borderId="10" xfId="58" applyFont="1" applyFill="1" applyBorder="1" applyAlignment="1" applyProtection="1">
      <alignment horizontal="center" vertical="center" wrapText="1"/>
    </xf>
    <xf numFmtId="0" fontId="81" fillId="0" borderId="87" xfId="0" applyNumberFormat="1" applyFont="1" applyFill="1" applyBorder="1" applyAlignment="1" applyProtection="1">
      <alignment horizontal="center" vertical="center"/>
    </xf>
    <xf numFmtId="0" fontId="81" fillId="0" borderId="88" xfId="0" applyNumberFormat="1" applyFont="1" applyFill="1" applyBorder="1" applyAlignment="1" applyProtection="1">
      <alignment horizontal="center" vertical="center"/>
    </xf>
    <xf numFmtId="0" fontId="81" fillId="0" borderId="89" xfId="0" applyNumberFormat="1" applyFont="1" applyFill="1" applyBorder="1" applyAlignment="1" applyProtection="1">
      <alignment horizontal="center" vertical="center"/>
    </xf>
    <xf numFmtId="0" fontId="77" fillId="0" borderId="90" xfId="0" applyNumberFormat="1" applyFont="1" applyFill="1" applyBorder="1" applyAlignment="1" applyProtection="1">
      <alignment horizontal="center"/>
    </xf>
    <xf numFmtId="0" fontId="77" fillId="0" borderId="91" xfId="0" applyNumberFormat="1" applyFont="1" applyFill="1" applyBorder="1" applyAlignment="1" applyProtection="1">
      <alignment horizontal="center"/>
    </xf>
    <xf numFmtId="0" fontId="77" fillId="0" borderId="91" xfId="0" applyNumberFormat="1" applyFont="1" applyFill="1" applyBorder="1" applyAlignment="1" applyProtection="1">
      <alignment horizontal="center" vertical="center"/>
    </xf>
    <xf numFmtId="0" fontId="77" fillId="0" borderId="92" xfId="0" applyNumberFormat="1" applyFont="1" applyFill="1" applyBorder="1" applyAlignment="1" applyProtection="1">
      <alignment horizontal="center" vertical="center"/>
    </xf>
    <xf numFmtId="0" fontId="77" fillId="0" borderId="93" xfId="0" applyFont="1" applyFill="1" applyBorder="1" applyAlignment="1" applyProtection="1">
      <alignment horizontal="center" vertical="center" wrapText="1"/>
    </xf>
    <xf numFmtId="0" fontId="77" fillId="0" borderId="94" xfId="0" applyFont="1" applyFill="1" applyBorder="1" applyAlignment="1" applyProtection="1">
      <alignment horizontal="center"/>
    </xf>
    <xf numFmtId="0" fontId="77" fillId="0" borderId="95" xfId="0" applyFont="1" applyFill="1" applyBorder="1" applyAlignment="1" applyProtection="1">
      <alignment horizontal="center"/>
    </xf>
    <xf numFmtId="0" fontId="133" fillId="0" borderId="0" xfId="0" applyFont="1"/>
    <xf numFmtId="0" fontId="133" fillId="0" borderId="0" xfId="0" applyFont="1" applyBorder="1"/>
    <xf numFmtId="164" fontId="77" fillId="0" borderId="96" xfId="0" applyNumberFormat="1" applyFont="1" applyFill="1" applyBorder="1" applyAlignment="1" applyProtection="1">
      <alignment horizontal="center" vertical="center" wrapText="1"/>
    </xf>
    <xf numFmtId="49" fontId="77" fillId="0" borderId="96" xfId="0" applyNumberFormat="1" applyFont="1" applyFill="1" applyBorder="1" applyAlignment="1" applyProtection="1">
      <alignment horizontal="center" vertical="center" wrapText="1"/>
    </xf>
    <xf numFmtId="15" fontId="0" fillId="0" borderId="0" xfId="0" applyNumberFormat="1" applyProtection="1"/>
    <xf numFmtId="164" fontId="35" fillId="0" borderId="0" xfId="0" applyNumberFormat="1" applyFont="1" applyProtection="1"/>
    <xf numFmtId="0" fontId="126" fillId="0" borderId="0" xfId="0" applyNumberFormat="1" applyFont="1" applyAlignment="1"/>
    <xf numFmtId="0" fontId="126" fillId="0" borderId="0" xfId="0" applyFont="1" applyAlignment="1"/>
    <xf numFmtId="3" fontId="67" fillId="26" borderId="10" xfId="0" applyNumberFormat="1" applyFont="1" applyFill="1" applyBorder="1" applyAlignment="1" applyProtection="1">
      <alignment vertical="center"/>
      <protection locked="0"/>
    </xf>
    <xf numFmtId="3" fontId="2" fillId="26" borderId="10" xfId="0" applyNumberFormat="1" applyFont="1" applyFill="1" applyBorder="1" applyAlignment="1" applyProtection="1">
      <alignment vertical="center"/>
      <protection locked="0"/>
    </xf>
    <xf numFmtId="3" fontId="67" fillId="26" borderId="20" xfId="0" applyNumberFormat="1" applyFont="1" applyFill="1" applyBorder="1" applyAlignment="1" applyProtection="1">
      <alignment vertical="center"/>
      <protection locked="0"/>
    </xf>
    <xf numFmtId="49" fontId="2" fillId="27" borderId="97" xfId="0" applyNumberFormat="1" applyFont="1" applyFill="1" applyBorder="1" applyProtection="1"/>
    <xf numFmtId="49" fontId="2" fillId="27" borderId="34" xfId="0" applyNumberFormat="1" applyFont="1" applyFill="1" applyBorder="1" applyProtection="1"/>
    <xf numFmtId="49" fontId="2" fillId="27" borderId="98" xfId="0" applyNumberFormat="1" applyFont="1" applyFill="1" applyBorder="1" applyProtection="1"/>
    <xf numFmtId="0" fontId="0" fillId="0" borderId="10" xfId="0" applyNumberFormat="1" applyBorder="1"/>
    <xf numFmtId="0" fontId="0" fillId="0" borderId="10" xfId="0" applyNumberFormat="1" applyBorder="1" applyAlignment="1">
      <alignment horizontal="center"/>
    </xf>
    <xf numFmtId="164" fontId="102" fillId="0" borderId="0" xfId="0" applyNumberFormat="1" applyFont="1" applyAlignment="1" applyProtection="1">
      <alignment horizontal="right"/>
    </xf>
    <xf numFmtId="164" fontId="77" fillId="0" borderId="99" xfId="0" applyNumberFormat="1" applyFont="1" applyFill="1" applyBorder="1" applyAlignment="1" applyProtection="1">
      <alignment horizontal="center" vertical="center"/>
    </xf>
    <xf numFmtId="0" fontId="77" fillId="0" borderId="100" xfId="0" applyFont="1" applyFill="1" applyBorder="1" applyAlignment="1" applyProtection="1">
      <alignment horizontal="center" vertical="center"/>
    </xf>
    <xf numFmtId="164" fontId="77" fillId="0" borderId="101" xfId="0" applyNumberFormat="1" applyFont="1" applyFill="1" applyBorder="1" applyAlignment="1" applyProtection="1">
      <alignment horizontal="center" vertical="center"/>
    </xf>
    <xf numFmtId="164" fontId="77" fillId="0" borderId="102" xfId="0" applyNumberFormat="1" applyFont="1" applyFill="1" applyBorder="1" applyAlignment="1" applyProtection="1">
      <alignment horizontal="center" vertical="center" wrapText="1"/>
    </xf>
    <xf numFmtId="0" fontId="2" fillId="0" borderId="103" xfId="0" applyFont="1" applyFill="1" applyBorder="1" applyAlignment="1" applyProtection="1">
      <alignment horizontal="center"/>
    </xf>
    <xf numFmtId="165" fontId="14" fillId="19" borderId="100" xfId="0" applyNumberFormat="1" applyFont="1" applyFill="1" applyBorder="1" applyAlignment="1" applyProtection="1">
      <alignment horizontal="center"/>
      <protection locked="0"/>
    </xf>
    <xf numFmtId="165" fontId="14" fillId="19" borderId="104" xfId="0" applyNumberFormat="1" applyFont="1" applyFill="1" applyBorder="1" applyAlignment="1" applyProtection="1">
      <alignment horizontal="center"/>
      <protection locked="0"/>
    </xf>
    <xf numFmtId="168" fontId="0" fillId="20" borderId="10" xfId="0" applyNumberFormat="1" applyFill="1" applyBorder="1" applyAlignment="1" applyProtection="1">
      <alignment horizontal="center"/>
    </xf>
    <xf numFmtId="168" fontId="0" fillId="0" borderId="10" xfId="0" applyNumberFormat="1" applyBorder="1" applyAlignment="1" applyProtection="1">
      <alignment horizontal="center"/>
    </xf>
    <xf numFmtId="168" fontId="0" fillId="20" borderId="45" xfId="0" applyNumberFormat="1" applyFill="1" applyBorder="1" applyAlignment="1" applyProtection="1">
      <alignment horizontal="center"/>
    </xf>
    <xf numFmtId="168" fontId="0" fillId="0" borderId="45" xfId="0" applyNumberFormat="1" applyBorder="1" applyAlignment="1" applyProtection="1">
      <alignment horizontal="center"/>
    </xf>
    <xf numFmtId="168" fontId="15" fillId="28" borderId="105" xfId="0" applyNumberFormat="1" applyFont="1" applyFill="1" applyBorder="1" applyAlignment="1" applyProtection="1">
      <alignment horizontal="center"/>
    </xf>
    <xf numFmtId="168" fontId="21" fillId="28" borderId="105" xfId="0" applyNumberFormat="1"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0" xfId="0" applyNumberFormat="1" applyFont="1" applyFill="1" applyBorder="1" applyAlignment="1" applyProtection="1">
      <alignment vertical="center"/>
      <protection locked="0"/>
    </xf>
    <xf numFmtId="3" fontId="67" fillId="29" borderId="10" xfId="0" applyNumberFormat="1" applyFont="1" applyFill="1" applyBorder="1" applyAlignment="1" applyProtection="1">
      <alignment horizontal="right" vertical="center"/>
      <protection locked="0"/>
    </xf>
    <xf numFmtId="3" fontId="2" fillId="29" borderId="10" xfId="0" applyNumberFormat="1" applyFont="1" applyFill="1" applyBorder="1" applyAlignment="1" applyProtection="1">
      <alignment horizontal="right" vertical="center"/>
      <protection locked="0"/>
    </xf>
    <xf numFmtId="3" fontId="67" fillId="29" borderId="20" xfId="0" applyNumberFormat="1" applyFont="1" applyFill="1" applyBorder="1" applyAlignment="1" applyProtection="1">
      <alignment horizontal="right" vertical="center"/>
      <protection locked="0"/>
    </xf>
    <xf numFmtId="3" fontId="67" fillId="29" borderId="71" xfId="0" applyNumberFormat="1" applyFont="1" applyFill="1" applyBorder="1" applyAlignment="1" applyProtection="1">
      <alignment horizontal="right" vertical="center"/>
      <protection locked="0"/>
    </xf>
    <xf numFmtId="3" fontId="67" fillId="29" borderId="106" xfId="0" applyNumberFormat="1" applyFont="1" applyFill="1" applyBorder="1" applyAlignment="1" applyProtection="1">
      <alignment horizontal="right" vertical="center"/>
      <protection locked="0"/>
    </xf>
    <xf numFmtId="49" fontId="2" fillId="30" borderId="10" xfId="0" applyNumberFormat="1" applyFont="1" applyFill="1" applyBorder="1" applyProtection="1"/>
    <xf numFmtId="3" fontId="67" fillId="30" borderId="10" xfId="0" applyNumberFormat="1" applyFont="1" applyFill="1" applyBorder="1" applyAlignment="1" applyProtection="1">
      <alignment vertical="center"/>
    </xf>
    <xf numFmtId="164" fontId="32" fillId="0" borderId="107" xfId="0" applyNumberFormat="1" applyFont="1" applyBorder="1" applyAlignment="1" applyProtection="1">
      <alignment horizontal="left"/>
    </xf>
    <xf numFmtId="164" fontId="1" fillId="0" borderId="108" xfId="0" applyNumberFormat="1" applyFont="1" applyBorder="1" applyAlignment="1" applyProtection="1">
      <alignment horizontal="left"/>
    </xf>
    <xf numFmtId="165" fontId="1" fillId="0" borderId="109" xfId="0" applyNumberFormat="1" applyFont="1" applyFill="1" applyBorder="1" applyAlignment="1" applyProtection="1">
      <alignment horizontal="left"/>
    </xf>
    <xf numFmtId="165" fontId="1" fillId="0" borderId="110" xfId="0" applyNumberFormat="1" applyFont="1" applyBorder="1" applyAlignment="1" applyProtection="1">
      <alignment horizontal="left"/>
    </xf>
    <xf numFmtId="165" fontId="1" fillId="0" borderId="41" xfId="0" applyNumberFormat="1" applyFont="1" applyBorder="1" applyAlignment="1" applyProtection="1">
      <alignment horizontal="left" wrapText="1"/>
    </xf>
    <xf numFmtId="164" fontId="1" fillId="0" borderId="30" xfId="0" applyNumberFormat="1" applyFont="1" applyFill="1" applyBorder="1" applyAlignment="1" applyProtection="1">
      <alignment horizontal="left"/>
    </xf>
    <xf numFmtId="0" fontId="134" fillId="0" borderId="0" xfId="0" applyFont="1"/>
    <xf numFmtId="0" fontId="134" fillId="0" borderId="0" xfId="0" applyFont="1" applyFill="1" applyBorder="1" applyProtection="1"/>
    <xf numFmtId="165" fontId="32" fillId="19" borderId="111" xfId="0" applyNumberFormat="1" applyFont="1" applyFill="1" applyBorder="1" applyAlignment="1" applyProtection="1">
      <alignment horizontal="center" wrapText="1"/>
      <protection locked="0"/>
    </xf>
    <xf numFmtId="15" fontId="28" fillId="0" borderId="112" xfId="0" applyNumberFormat="1" applyFont="1" applyBorder="1" applyAlignment="1" applyProtection="1">
      <alignment horizontal="left"/>
    </xf>
    <xf numFmtId="0" fontId="28" fillId="0" borderId="107" xfId="0" applyFont="1" applyBorder="1" applyAlignment="1" applyProtection="1">
      <alignment horizontal="left"/>
    </xf>
    <xf numFmtId="15" fontId="28" fillId="0" borderId="113" xfId="0" applyNumberFormat="1" applyFont="1" applyBorder="1" applyAlignment="1" applyProtection="1">
      <alignment horizontal="left"/>
    </xf>
    <xf numFmtId="15" fontId="28" fillId="0" borderId="114" xfId="0" applyNumberFormat="1" applyFont="1" applyBorder="1" applyAlignment="1" applyProtection="1">
      <alignment horizontal="left"/>
    </xf>
    <xf numFmtId="49" fontId="2" fillId="0" borderId="10" xfId="0" applyNumberFormat="1" applyFont="1" applyFill="1" applyBorder="1" applyAlignment="1" applyProtection="1">
      <alignment horizontal="left"/>
    </xf>
    <xf numFmtId="49" fontId="2" fillId="30" borderId="10" xfId="0" applyNumberFormat="1" applyFont="1" applyFill="1" applyBorder="1" applyAlignment="1" applyProtection="1">
      <alignment horizontal="left"/>
    </xf>
    <xf numFmtId="49" fontId="2" fillId="30" borderId="71" xfId="0" applyNumberFormat="1" applyFont="1" applyFill="1" applyBorder="1" applyAlignment="1" applyProtection="1">
      <alignment horizontal="left"/>
    </xf>
    <xf numFmtId="164" fontId="1" fillId="0" borderId="115" xfId="0" applyNumberFormat="1" applyFont="1" applyBorder="1" applyAlignment="1" applyProtection="1">
      <alignment horizontal="left"/>
    </xf>
    <xf numFmtId="164" fontId="16" fillId="0" borderId="0" xfId="49" applyFont="1" applyFill="1" applyAlignment="1">
      <alignment vertical="center"/>
    </xf>
    <xf numFmtId="164" fontId="17" fillId="31" borderId="0" xfId="49" applyFont="1" applyFill="1" applyBorder="1" applyAlignment="1">
      <alignment horizontal="center" vertical="center"/>
    </xf>
    <xf numFmtId="164" fontId="33" fillId="0" borderId="0" xfId="0" applyNumberFormat="1" applyFont="1" applyAlignment="1">
      <alignment horizontal="center"/>
    </xf>
    <xf numFmtId="0" fontId="0" fillId="0" borderId="0" xfId="0" applyAlignment="1"/>
    <xf numFmtId="0" fontId="63" fillId="0" borderId="34" xfId="0" applyFont="1" applyBorder="1" applyAlignment="1" applyProtection="1">
      <alignment horizontal="left" vertical="center" wrapText="1"/>
      <protection locked="0"/>
    </xf>
    <xf numFmtId="0" fontId="63" fillId="0" borderId="35" xfId="0" applyFont="1" applyBorder="1" applyAlignment="1" applyProtection="1">
      <alignment horizontal="left" vertical="center" wrapText="1"/>
      <protection locked="0"/>
    </xf>
    <xf numFmtId="0" fontId="63" fillId="0" borderId="36" xfId="0" applyFont="1" applyBorder="1" applyAlignment="1" applyProtection="1">
      <alignment horizontal="left" vertical="center" wrapText="1"/>
      <protection locked="0"/>
    </xf>
    <xf numFmtId="0" fontId="63" fillId="0" borderId="34" xfId="0" applyFont="1" applyBorder="1" applyAlignment="1" applyProtection="1">
      <alignment horizontal="justify" vertical="center" wrapText="1"/>
      <protection locked="0"/>
    </xf>
    <xf numFmtId="0" fontId="89" fillId="0" borderId="35" xfId="0" applyFont="1" applyBorder="1" applyAlignment="1" applyProtection="1">
      <alignment horizontal="justify" vertical="center" wrapText="1"/>
      <protection locked="0"/>
    </xf>
    <xf numFmtId="0" fontId="89" fillId="0" borderId="36" xfId="0" applyFont="1" applyBorder="1" applyAlignment="1" applyProtection="1">
      <alignment horizontal="justify" vertical="center" wrapText="1"/>
      <protection locked="0"/>
    </xf>
    <xf numFmtId="0" fontId="89" fillId="0" borderId="34" xfId="0" applyFont="1" applyBorder="1" applyAlignment="1" applyProtection="1">
      <alignment vertical="center" wrapText="1"/>
      <protection locked="0"/>
    </xf>
    <xf numFmtId="0" fontId="89" fillId="0" borderId="35" xfId="0" applyFont="1" applyBorder="1" applyAlignment="1" applyProtection="1">
      <alignment vertical="center" wrapText="1"/>
      <protection locked="0"/>
    </xf>
    <xf numFmtId="0" fontId="89" fillId="0" borderId="36" xfId="0" applyFont="1" applyBorder="1" applyAlignment="1" applyProtection="1">
      <alignment vertical="center" wrapText="1"/>
      <protection locked="0"/>
    </xf>
    <xf numFmtId="0" fontId="88" fillId="0" borderId="34" xfId="0" applyFont="1" applyBorder="1" applyAlignment="1" applyProtection="1">
      <alignment vertical="center" wrapText="1"/>
      <protection locked="0"/>
    </xf>
    <xf numFmtId="0" fontId="88" fillId="0" borderId="35" xfId="0" applyFont="1" applyBorder="1" applyAlignment="1" applyProtection="1">
      <alignment vertical="center" wrapText="1"/>
      <protection locked="0"/>
    </xf>
    <xf numFmtId="0" fontId="88" fillId="0" borderId="36" xfId="0" applyFont="1" applyBorder="1" applyAlignment="1" applyProtection="1">
      <alignment vertical="center" wrapText="1"/>
      <protection locked="0"/>
    </xf>
    <xf numFmtId="0" fontId="98" fillId="20" borderId="34" xfId="0" applyFont="1" applyFill="1" applyBorder="1" applyAlignment="1" applyProtection="1">
      <alignment vertical="center" wrapText="1"/>
      <protection locked="0"/>
    </xf>
    <xf numFmtId="0" fontId="98" fillId="20" borderId="35" xfId="0" applyFont="1" applyFill="1" applyBorder="1" applyAlignment="1" applyProtection="1">
      <alignment vertical="center" wrapText="1"/>
      <protection locked="0"/>
    </xf>
    <xf numFmtId="0" fontId="98" fillId="20" borderId="36" xfId="0" applyFont="1" applyFill="1" applyBorder="1" applyAlignment="1" applyProtection="1">
      <alignment vertical="center" wrapText="1"/>
      <protection locked="0"/>
    </xf>
    <xf numFmtId="0" fontId="89" fillId="20" borderId="34" xfId="0" applyFont="1" applyFill="1" applyBorder="1" applyAlignment="1" applyProtection="1">
      <alignment vertical="center" wrapText="1"/>
      <protection locked="0"/>
    </xf>
    <xf numFmtId="0" fontId="89" fillId="20" borderId="35" xfId="0" applyFont="1" applyFill="1" applyBorder="1" applyAlignment="1" applyProtection="1">
      <alignment vertical="center" wrapText="1"/>
      <protection locked="0"/>
    </xf>
    <xf numFmtId="0" fontId="89" fillId="20" borderId="36" xfId="0" applyFont="1" applyFill="1" applyBorder="1" applyAlignment="1" applyProtection="1">
      <alignment vertical="center" wrapText="1"/>
      <protection locked="0"/>
    </xf>
    <xf numFmtId="0" fontId="89" fillId="21" borderId="34" xfId="0" applyFont="1" applyFill="1" applyBorder="1" applyAlignment="1">
      <alignment vertical="center" wrapText="1"/>
    </xf>
    <xf numFmtId="0" fontId="89" fillId="21" borderId="35" xfId="0" applyFont="1" applyFill="1" applyBorder="1" applyAlignment="1">
      <alignment vertical="center" wrapText="1"/>
    </xf>
    <xf numFmtId="0" fontId="89" fillId="21" borderId="36" xfId="0" applyFont="1" applyFill="1" applyBorder="1" applyAlignment="1">
      <alignment vertical="center" wrapText="1"/>
    </xf>
    <xf numFmtId="0" fontId="63" fillId="0" borderId="34" xfId="0" applyNumberFormat="1" applyFont="1" applyBorder="1" applyAlignment="1" applyProtection="1">
      <alignment horizontal="left" vertical="center" wrapText="1"/>
      <protection locked="0"/>
    </xf>
    <xf numFmtId="0" fontId="63" fillId="0" borderId="35" xfId="0" applyNumberFormat="1" applyFont="1" applyBorder="1" applyAlignment="1" applyProtection="1">
      <alignment horizontal="left" vertical="center" wrapText="1"/>
      <protection locked="0"/>
    </xf>
    <xf numFmtId="0" fontId="63" fillId="0" borderId="36" xfId="0" applyNumberFormat="1" applyFont="1" applyBorder="1" applyAlignment="1" applyProtection="1">
      <alignment horizontal="left" vertical="center" wrapText="1"/>
      <protection locked="0"/>
    </xf>
    <xf numFmtId="164" fontId="88" fillId="0" borderId="34" xfId="0" applyNumberFormat="1" applyFont="1" applyBorder="1" applyAlignment="1">
      <alignment horizontal="justify" vertical="center" wrapText="1"/>
    </xf>
    <xf numFmtId="0" fontId="88" fillId="0" borderId="35" xfId="0" applyFont="1" applyBorder="1" applyAlignment="1">
      <alignment horizontal="justify" vertical="center" wrapText="1"/>
    </xf>
    <xf numFmtId="0" fontId="88" fillId="0" borderId="36" xfId="0" applyFont="1" applyBorder="1" applyAlignment="1">
      <alignment horizontal="justify" vertical="center" wrapText="1"/>
    </xf>
    <xf numFmtId="0" fontId="63" fillId="0" borderId="34" xfId="0" applyFont="1" applyBorder="1" applyAlignment="1">
      <alignment horizontal="justify" vertical="center" wrapText="1"/>
    </xf>
    <xf numFmtId="0" fontId="89" fillId="0" borderId="35" xfId="0" applyFont="1" applyBorder="1" applyAlignment="1">
      <alignment horizontal="justify" vertical="center" wrapText="1"/>
    </xf>
    <xf numFmtId="0" fontId="89" fillId="0" borderId="36" xfId="0" applyFont="1" applyBorder="1" applyAlignment="1">
      <alignment horizontal="justify" vertical="center" wrapText="1"/>
    </xf>
    <xf numFmtId="0" fontId="63" fillId="0" borderId="34" xfId="0" applyNumberFormat="1" applyFont="1" applyBorder="1" applyAlignment="1">
      <alignment horizontal="left" vertical="center" wrapText="1"/>
    </xf>
    <xf numFmtId="0" fontId="63" fillId="0" borderId="35" xfId="0" applyFont="1" applyBorder="1" applyAlignment="1">
      <alignment horizontal="left" vertical="center" wrapText="1"/>
    </xf>
    <xf numFmtId="0" fontId="63" fillId="0" borderId="36" xfId="0" applyFont="1" applyBorder="1" applyAlignment="1">
      <alignment horizontal="left" vertical="center" wrapText="1"/>
    </xf>
    <xf numFmtId="0" fontId="63" fillId="0" borderId="116" xfId="0" applyFont="1" applyBorder="1" applyAlignment="1">
      <alignment horizontal="justify"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119" fillId="0" borderId="97" xfId="0" applyNumberFormat="1" applyFont="1" applyBorder="1" applyAlignment="1">
      <alignment horizontal="justify" vertical="center" wrapText="1"/>
    </xf>
    <xf numFmtId="0" fontId="119" fillId="0" borderId="100" xfId="0" applyFont="1" applyBorder="1" applyAlignment="1">
      <alignment horizontal="justify" vertical="center" wrapText="1"/>
    </xf>
    <xf numFmtId="0" fontId="119" fillId="0" borderId="102" xfId="0" applyFont="1" applyBorder="1" applyAlignment="1">
      <alignment horizontal="justify" vertical="center" wrapText="1"/>
    </xf>
    <xf numFmtId="0" fontId="89" fillId="0" borderId="97" xfId="0" applyFont="1" applyBorder="1" applyAlignment="1">
      <alignment horizontal="justify" vertical="center" wrapText="1"/>
    </xf>
    <xf numFmtId="0" fontId="89" fillId="0" borderId="100" xfId="0" applyFont="1" applyBorder="1" applyAlignment="1">
      <alignment horizontal="justify" vertical="center" wrapText="1"/>
    </xf>
    <xf numFmtId="0" fontId="89" fillId="0" borderId="102" xfId="0" applyFont="1" applyBorder="1" applyAlignment="1">
      <alignment horizontal="justify" vertical="center" wrapText="1"/>
    </xf>
    <xf numFmtId="0" fontId="119" fillId="0" borderId="34" xfId="0" applyNumberFormat="1" applyFont="1" applyBorder="1" applyAlignment="1">
      <alignment horizontal="left" vertical="center" wrapText="1"/>
    </xf>
    <xf numFmtId="0" fontId="116" fillId="0" borderId="35" xfId="0" applyFont="1" applyBorder="1" applyAlignment="1">
      <alignment horizontal="left" vertical="center" wrapText="1"/>
    </xf>
    <xf numFmtId="0" fontId="116" fillId="0" borderId="36" xfId="0" applyFont="1" applyBorder="1" applyAlignment="1">
      <alignment horizontal="left" vertical="center" wrapText="1"/>
    </xf>
    <xf numFmtId="0" fontId="63" fillId="0" borderId="116" xfId="0" applyNumberFormat="1" applyFont="1" applyBorder="1" applyAlignment="1">
      <alignment horizontal="left" vertical="center" wrapText="1"/>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97" xfId="0" applyFont="1" applyBorder="1" applyAlignment="1">
      <alignment horizontal="left" vertical="center" wrapText="1"/>
    </xf>
    <xf numFmtId="0" fontId="63" fillId="0" borderId="100" xfId="0" applyFont="1" applyBorder="1" applyAlignment="1">
      <alignment horizontal="left" vertical="center" wrapText="1"/>
    </xf>
    <xf numFmtId="0" fontId="63" fillId="0" borderId="102" xfId="0" applyFont="1" applyBorder="1" applyAlignment="1">
      <alignment horizontal="left" vertical="center" wrapText="1"/>
    </xf>
    <xf numFmtId="0" fontId="119" fillId="0" borderId="34" xfId="0" applyNumberFormat="1" applyFont="1" applyBorder="1" applyAlignment="1">
      <alignment horizontal="justify" vertical="center" wrapText="1"/>
    </xf>
    <xf numFmtId="0" fontId="119" fillId="0" borderId="35" xfId="0" applyFont="1" applyBorder="1" applyAlignment="1">
      <alignment horizontal="justify" vertical="center" wrapText="1"/>
    </xf>
    <xf numFmtId="0" fontId="119" fillId="0" borderId="36" xfId="0" applyFont="1" applyBorder="1" applyAlignment="1">
      <alignment horizontal="justify" vertical="center" wrapText="1"/>
    </xf>
    <xf numFmtId="0" fontId="63" fillId="0" borderId="34" xfId="0" applyNumberFormat="1" applyFont="1" applyBorder="1" applyAlignment="1">
      <alignment horizontal="justify" vertical="center" wrapText="1"/>
    </xf>
    <xf numFmtId="0" fontId="63" fillId="0" borderId="35" xfId="0" applyFont="1" applyBorder="1" applyAlignment="1">
      <alignment horizontal="justify" vertical="center" wrapText="1"/>
    </xf>
    <xf numFmtId="0" fontId="63" fillId="0" borderId="36" xfId="0" applyFont="1" applyBorder="1" applyAlignment="1">
      <alignment horizontal="justify" vertical="center" wrapText="1"/>
    </xf>
    <xf numFmtId="0" fontId="63" fillId="0" borderId="34" xfId="0" applyFont="1" applyBorder="1" applyAlignment="1">
      <alignment horizontal="left" vertical="center" wrapText="1"/>
    </xf>
    <xf numFmtId="0" fontId="87" fillId="22" borderId="34" xfId="0" applyNumberFormat="1" applyFont="1" applyFill="1" applyBorder="1" applyAlignment="1">
      <alignment horizontal="center"/>
    </xf>
    <xf numFmtId="0" fontId="87" fillId="22" borderId="35" xfId="0" applyFont="1" applyFill="1" applyBorder="1" applyAlignment="1">
      <alignment horizontal="center"/>
    </xf>
    <xf numFmtId="0" fontId="87" fillId="22" borderId="36" xfId="0" applyFont="1" applyFill="1" applyBorder="1" applyAlignment="1">
      <alignment horizontal="center"/>
    </xf>
    <xf numFmtId="0" fontId="1" fillId="0" borderId="34" xfId="0" applyNumberFormat="1"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86" fillId="0" borderId="0" xfId="0" applyNumberFormat="1" applyFont="1" applyAlignment="1">
      <alignment horizontal="center"/>
    </xf>
    <xf numFmtId="0" fontId="86" fillId="0" borderId="0" xfId="0" applyFont="1" applyAlignment="1">
      <alignment horizontal="center"/>
    </xf>
    <xf numFmtId="0" fontId="14" fillId="21" borderId="34" xfId="0" applyNumberFormat="1" applyFont="1" applyFill="1" applyBorder="1" applyAlignment="1">
      <alignment horizontal="center" vertical="center" wrapText="1"/>
    </xf>
    <xf numFmtId="0" fontId="94" fillId="21" borderId="35" xfId="0" applyFont="1" applyFill="1" applyBorder="1" applyAlignment="1">
      <alignment horizontal="center" vertical="center"/>
    </xf>
    <xf numFmtId="0" fontId="94" fillId="21" borderId="36" xfId="0" applyFont="1" applyFill="1" applyBorder="1" applyAlignment="1">
      <alignment horizontal="center" vertical="center"/>
    </xf>
    <xf numFmtId="0" fontId="24" fillId="21" borderId="34" xfId="0" applyNumberFormat="1" applyFont="1" applyFill="1" applyBorder="1" applyAlignment="1">
      <alignment horizontal="center" vertical="center"/>
    </xf>
    <xf numFmtId="0" fontId="93" fillId="21" borderId="35" xfId="0" applyFont="1" applyFill="1" applyBorder="1" applyAlignment="1">
      <alignment horizontal="center" vertical="center"/>
    </xf>
    <xf numFmtId="0" fontId="93" fillId="21" borderId="36" xfId="0" applyFont="1" applyFill="1" applyBorder="1" applyAlignment="1">
      <alignment horizontal="center" vertical="center"/>
    </xf>
    <xf numFmtId="0" fontId="24" fillId="0" borderId="34" xfId="0" applyNumberFormat="1" applyFont="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89" fillId="0" borderId="34" xfId="0" applyFont="1" applyBorder="1" applyAlignment="1">
      <alignment horizontal="justify" vertical="center" wrapText="1"/>
    </xf>
    <xf numFmtId="164" fontId="88" fillId="0" borderId="116" xfId="0" applyNumberFormat="1" applyFont="1" applyBorder="1" applyAlignment="1">
      <alignment horizontal="left" vertical="center" wrapText="1"/>
    </xf>
    <xf numFmtId="0" fontId="88" fillId="0" borderId="117" xfId="0" applyFont="1" applyBorder="1" applyAlignment="1">
      <alignment horizontal="left" vertical="center" wrapText="1"/>
    </xf>
    <xf numFmtId="0" fontId="88" fillId="0" borderId="118" xfId="0" applyFont="1" applyBorder="1" applyAlignment="1">
      <alignment horizontal="left" vertical="center" wrapText="1"/>
    </xf>
    <xf numFmtId="0" fontId="88" fillId="0" borderId="97" xfId="0" applyFont="1" applyBorder="1" applyAlignment="1">
      <alignment horizontal="left" vertical="center" wrapText="1"/>
    </xf>
    <xf numFmtId="0" fontId="88" fillId="0" borderId="100" xfId="0" applyFont="1" applyBorder="1" applyAlignment="1">
      <alignment horizontal="left" vertical="center" wrapText="1"/>
    </xf>
    <xf numFmtId="0" fontId="88" fillId="0" borderId="102" xfId="0" applyFont="1" applyBorder="1" applyAlignment="1">
      <alignment horizontal="left" vertical="center" wrapText="1"/>
    </xf>
    <xf numFmtId="0" fontId="89" fillId="0" borderId="35" xfId="0" applyFont="1" applyBorder="1" applyAlignment="1" applyProtection="1">
      <alignment horizontal="left" vertical="center" wrapText="1"/>
      <protection locked="0"/>
    </xf>
    <xf numFmtId="0" fontId="89" fillId="0" borderId="36" xfId="0" applyFont="1" applyBorder="1" applyAlignment="1" applyProtection="1">
      <alignment horizontal="left" vertical="center" wrapText="1"/>
      <protection locked="0"/>
    </xf>
    <xf numFmtId="0" fontId="0" fillId="0" borderId="0" xfId="0" applyBorder="1" applyAlignment="1">
      <alignment horizontal="center"/>
    </xf>
    <xf numFmtId="0" fontId="0" fillId="0" borderId="117" xfId="0" applyBorder="1" applyAlignment="1">
      <alignment horizontal="center" wrapText="1"/>
    </xf>
    <xf numFmtId="0" fontId="0" fillId="0" borderId="117" xfId="0" applyBorder="1" applyAlignment="1">
      <alignment horizontal="center"/>
    </xf>
    <xf numFmtId="0" fontId="0" fillId="0" borderId="0" xfId="0" applyBorder="1" applyAlignment="1">
      <alignment horizontal="center" wrapText="1"/>
    </xf>
    <xf numFmtId="164" fontId="88" fillId="0" borderId="34" xfId="0" applyNumberFormat="1" applyFont="1" applyBorder="1" applyAlignment="1">
      <alignment horizontal="left" vertical="center" wrapText="1"/>
    </xf>
    <xf numFmtId="0" fontId="88" fillId="0" borderId="35" xfId="0" applyFont="1" applyBorder="1" applyAlignment="1">
      <alignment horizontal="left" vertical="center" wrapText="1"/>
    </xf>
    <xf numFmtId="0" fontId="88" fillId="0" borderId="36" xfId="0" applyFont="1" applyBorder="1" applyAlignment="1">
      <alignment horizontal="left" vertical="center" wrapText="1"/>
    </xf>
    <xf numFmtId="0" fontId="88" fillId="0" borderId="35" xfId="0" applyFont="1" applyBorder="1" applyAlignment="1">
      <alignment horizontal="left" vertical="center"/>
    </xf>
    <xf numFmtId="0" fontId="88" fillId="0" borderId="36" xfId="0" applyFont="1" applyBorder="1" applyAlignment="1">
      <alignment horizontal="left" vertical="center"/>
    </xf>
    <xf numFmtId="0" fontId="88" fillId="0" borderId="35" xfId="0" applyFont="1" applyBorder="1" applyAlignment="1">
      <alignment horizontal="justify" vertical="center"/>
    </xf>
    <xf numFmtId="0" fontId="88" fillId="0" borderId="36" xfId="0" applyFont="1" applyBorder="1" applyAlignment="1">
      <alignment horizontal="justify" vertical="center"/>
    </xf>
    <xf numFmtId="164" fontId="17" fillId="32" borderId="0" xfId="48" applyFont="1" applyFill="1" applyAlignment="1" applyProtection="1">
      <alignment horizontal="center" vertical="center"/>
    </xf>
    <xf numFmtId="9" fontId="63" fillId="0" borderId="34" xfId="0" applyNumberFormat="1" applyFont="1" applyBorder="1" applyAlignment="1">
      <alignment horizontal="left" vertical="center" wrapText="1"/>
    </xf>
    <xf numFmtId="0" fontId="87" fillId="23" borderId="34" xfId="0" applyNumberFormat="1" applyFont="1" applyFill="1" applyBorder="1" applyAlignment="1">
      <alignment horizontal="center"/>
    </xf>
    <xf numFmtId="0" fontId="87" fillId="23" borderId="35" xfId="0" applyFont="1" applyFill="1" applyBorder="1" applyAlignment="1">
      <alignment horizontal="center"/>
    </xf>
    <xf numFmtId="0" fontId="87" fillId="23" borderId="36" xfId="0" applyFont="1" applyFill="1" applyBorder="1" applyAlignment="1">
      <alignment horizontal="center"/>
    </xf>
    <xf numFmtId="9" fontId="63" fillId="0" borderId="34" xfId="58" applyFont="1" applyBorder="1" applyAlignment="1">
      <alignment horizontal="justify" vertical="center" wrapText="1"/>
    </xf>
    <xf numFmtId="9" fontId="63" fillId="0" borderId="35" xfId="58" applyFont="1" applyBorder="1" applyAlignment="1">
      <alignment horizontal="justify" vertical="center" wrapText="1"/>
    </xf>
    <xf numFmtId="9" fontId="63" fillId="0" borderId="36" xfId="58" applyFont="1" applyBorder="1" applyAlignment="1">
      <alignment horizontal="justify" vertical="center" wrapText="1"/>
    </xf>
    <xf numFmtId="164" fontId="114" fillId="0" borderId="0" xfId="0" applyNumberFormat="1" applyFont="1" applyAlignment="1" applyProtection="1">
      <alignment horizontal="right"/>
    </xf>
    <xf numFmtId="0" fontId="114" fillId="0" borderId="0" xfId="0" applyFont="1" applyAlignment="1" applyProtection="1">
      <alignment horizontal="right"/>
    </xf>
    <xf numFmtId="0" fontId="0" fillId="21" borderId="34" xfId="0" applyFill="1" applyBorder="1" applyAlignment="1" applyProtection="1">
      <alignment horizontal="center"/>
    </xf>
    <xf numFmtId="0" fontId="0" fillId="21" borderId="36" xfId="0" applyFill="1" applyBorder="1" applyAlignment="1" applyProtection="1">
      <alignment horizontal="center"/>
    </xf>
    <xf numFmtId="165" fontId="1" fillId="19" borderId="119" xfId="0" applyNumberFormat="1" applyFont="1" applyFill="1" applyBorder="1" applyAlignment="1" applyProtection="1">
      <alignment horizontal="center" vertical="center" textRotation="90"/>
    </xf>
    <xf numFmtId="0" fontId="0" fillId="19" borderId="119" xfId="0" applyFill="1" applyBorder="1" applyAlignment="1" applyProtection="1">
      <alignment horizontal="center" vertical="center" textRotation="90"/>
    </xf>
    <xf numFmtId="164" fontId="14" fillId="0" borderId="120" xfId="0" applyNumberFormat="1" applyFont="1" applyBorder="1" applyAlignment="1" applyProtection="1">
      <alignment horizontal="center"/>
    </xf>
    <xf numFmtId="0" fontId="14" fillId="0" borderId="121" xfId="0" applyFont="1" applyBorder="1" applyAlignment="1" applyProtection="1">
      <alignment horizontal="center"/>
    </xf>
    <xf numFmtId="0" fontId="14" fillId="0" borderId="122" xfId="0" applyFont="1" applyBorder="1" applyAlignment="1" applyProtection="1">
      <alignment horizontal="center"/>
    </xf>
    <xf numFmtId="49" fontId="2" fillId="21" borderId="123" xfId="0" applyNumberFormat="1" applyFont="1" applyFill="1" applyBorder="1" applyAlignment="1" applyProtection="1">
      <alignment horizontal="left" vertical="center" wrapText="1"/>
      <protection locked="0"/>
    </xf>
    <xf numFmtId="49" fontId="67" fillId="21" borderId="103" xfId="0" applyNumberFormat="1" applyFont="1" applyFill="1" applyBorder="1" applyAlignment="1" applyProtection="1">
      <alignment horizontal="left" vertical="center" wrapText="1"/>
      <protection locked="0"/>
    </xf>
    <xf numFmtId="49" fontId="67" fillId="21" borderId="97" xfId="0" applyNumberFormat="1" applyFont="1" applyFill="1" applyBorder="1" applyAlignment="1" applyProtection="1">
      <alignment horizontal="left" vertical="center" wrapText="1"/>
      <protection locked="0"/>
    </xf>
    <xf numFmtId="49" fontId="67" fillId="21" borderId="124" xfId="0" applyNumberFormat="1" applyFont="1" applyFill="1" applyBorder="1" applyAlignment="1" applyProtection="1">
      <alignment horizontal="left" vertical="center" wrapText="1"/>
      <protection locked="0"/>
    </xf>
    <xf numFmtId="49" fontId="67" fillId="21" borderId="10" xfId="0" applyNumberFormat="1" applyFont="1" applyFill="1" applyBorder="1" applyAlignment="1" applyProtection="1">
      <alignment horizontal="left" vertical="center" wrapText="1"/>
      <protection locked="0"/>
    </xf>
    <xf numFmtId="49" fontId="67" fillId="21" borderId="34" xfId="0" applyNumberFormat="1" applyFont="1" applyFill="1" applyBorder="1" applyAlignment="1" applyProtection="1">
      <alignment horizontal="left" vertical="center" wrapText="1"/>
      <protection locked="0"/>
    </xf>
    <xf numFmtId="164" fontId="26" fillId="0" borderId="125" xfId="0" applyNumberFormat="1" applyFont="1" applyBorder="1" applyAlignment="1" applyProtection="1">
      <alignment horizontal="center" wrapText="1"/>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49" fontId="2" fillId="21" borderId="36" xfId="0" applyNumberFormat="1" applyFont="1" applyFill="1" applyBorder="1" applyAlignment="1" applyProtection="1">
      <alignment horizontal="center" vertical="center" wrapText="1"/>
      <protection locked="0"/>
    </xf>
    <xf numFmtId="49" fontId="67" fillId="21" borderId="36" xfId="0" applyNumberFormat="1" applyFont="1" applyFill="1" applyBorder="1" applyAlignment="1" applyProtection="1">
      <alignment horizontal="center" vertical="center" wrapText="1"/>
      <protection locked="0"/>
    </xf>
    <xf numFmtId="49" fontId="2" fillId="29" borderId="124" xfId="0" applyNumberFormat="1" applyFont="1" applyFill="1" applyBorder="1" applyAlignment="1" applyProtection="1">
      <alignment horizontal="left" vertical="center" wrapText="1"/>
      <protection locked="0"/>
    </xf>
    <xf numFmtId="49" fontId="67" fillId="29" borderId="10" xfId="0" applyNumberFormat="1" applyFont="1" applyFill="1" applyBorder="1" applyAlignment="1" applyProtection="1">
      <alignment horizontal="left" vertical="center" wrapText="1"/>
      <protection locked="0"/>
    </xf>
    <xf numFmtId="49" fontId="67" fillId="29" borderId="34" xfId="0" applyNumberFormat="1" applyFont="1" applyFill="1" applyBorder="1" applyAlignment="1" applyProtection="1">
      <alignment horizontal="left" vertical="center" wrapText="1"/>
      <protection locked="0"/>
    </xf>
    <xf numFmtId="49" fontId="67" fillId="29" borderId="124" xfId="0" applyNumberFormat="1" applyFont="1" applyFill="1" applyBorder="1" applyAlignment="1" applyProtection="1">
      <alignment horizontal="left" vertical="center" wrapText="1"/>
      <protection locked="0"/>
    </xf>
    <xf numFmtId="49" fontId="2" fillId="21" borderId="124" xfId="0" applyNumberFormat="1" applyFont="1" applyFill="1" applyBorder="1" applyAlignment="1" applyProtection="1">
      <alignment horizontal="left" vertical="center" wrapText="1"/>
      <protection locked="0"/>
    </xf>
    <xf numFmtId="164" fontId="1" fillId="0" borderId="108" xfId="0" applyNumberFormat="1" applyFont="1" applyBorder="1" applyAlignment="1" applyProtection="1">
      <alignment horizontal="left"/>
    </xf>
    <xf numFmtId="49" fontId="1" fillId="0" borderId="38" xfId="0" applyNumberFormat="1" applyFont="1" applyBorder="1" applyAlignment="1" applyProtection="1">
      <alignment horizontal="left"/>
    </xf>
    <xf numFmtId="0" fontId="2" fillId="21" borderId="128" xfId="0" applyNumberFormat="1" applyFont="1" applyFill="1" applyBorder="1" applyAlignment="1" applyProtection="1">
      <alignment horizontal="center" vertical="center" wrapText="1"/>
      <protection locked="0"/>
    </xf>
    <xf numFmtId="0" fontId="67" fillId="21" borderId="128" xfId="0" applyNumberFormat="1" applyFont="1" applyFill="1" applyBorder="1" applyAlignment="1" applyProtection="1">
      <alignment horizontal="center" vertical="center" wrapText="1"/>
      <protection locked="0"/>
    </xf>
    <xf numFmtId="164" fontId="77" fillId="0" borderId="129" xfId="0" applyNumberFormat="1" applyFont="1" applyFill="1" applyBorder="1" applyAlignment="1" applyProtection="1">
      <alignment horizontal="center" vertical="center"/>
    </xf>
    <xf numFmtId="0" fontId="77" fillId="0" borderId="130" xfId="0" applyFont="1" applyFill="1" applyBorder="1" applyAlignment="1" applyProtection="1">
      <alignment horizontal="center" vertical="center"/>
    </xf>
    <xf numFmtId="0" fontId="77" fillId="0" borderId="131" xfId="0" applyFont="1" applyFill="1" applyBorder="1" applyAlignment="1" applyProtection="1">
      <alignment horizontal="center" vertical="center"/>
    </xf>
    <xf numFmtId="164" fontId="61" fillId="32" borderId="0" xfId="40" applyFont="1" applyFill="1" applyAlignment="1" applyProtection="1">
      <alignment horizontal="center" vertical="center"/>
    </xf>
    <xf numFmtId="164" fontId="1" fillId="0" borderId="34" xfId="0" applyNumberFormat="1" applyFont="1" applyBorder="1" applyAlignment="1" applyProtection="1">
      <alignment horizontal="center"/>
      <protection locked="0"/>
    </xf>
    <xf numFmtId="49" fontId="0" fillId="0" borderId="36" xfId="0" applyNumberFormat="1" applyBorder="1" applyAlignment="1" applyProtection="1">
      <alignment horizontal="center"/>
      <protection locked="0"/>
    </xf>
    <xf numFmtId="49" fontId="0" fillId="0" borderId="34" xfId="0" applyNumberFormat="1" applyBorder="1" applyAlignment="1" applyProtection="1">
      <alignment horizontal="center"/>
      <protection locked="0"/>
    </xf>
    <xf numFmtId="49" fontId="0" fillId="0" borderId="35" xfId="0" applyNumberFormat="1" applyBorder="1" applyAlignment="1" applyProtection="1">
      <alignment horizontal="center"/>
      <protection locked="0"/>
    </xf>
    <xf numFmtId="164" fontId="132" fillId="0" borderId="73" xfId="0" applyNumberFormat="1" applyFont="1" applyBorder="1" applyAlignment="1" applyProtection="1">
      <alignment horizontal="right"/>
    </xf>
    <xf numFmtId="0" fontId="132" fillId="0" borderId="132" xfId="0" applyFont="1" applyBorder="1" applyAlignment="1" applyProtection="1">
      <alignment horizontal="right"/>
    </xf>
    <xf numFmtId="3" fontId="0" fillId="0" borderId="34" xfId="0" applyNumberFormat="1" applyBorder="1" applyAlignment="1" applyProtection="1">
      <alignment horizontal="center"/>
      <protection locked="0"/>
    </xf>
    <xf numFmtId="3" fontId="0" fillId="0" borderId="36" xfId="0" applyNumberFormat="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164" fontId="114" fillId="0" borderId="0" xfId="0" applyNumberFormat="1" applyFont="1" applyBorder="1" applyAlignment="1" applyProtection="1">
      <alignment horizontal="right"/>
    </xf>
    <xf numFmtId="0" fontId="114" fillId="0" borderId="132" xfId="0" applyFont="1" applyBorder="1" applyAlignment="1" applyProtection="1">
      <alignment horizontal="right"/>
    </xf>
    <xf numFmtId="164" fontId="114" fillId="0" borderId="73" xfId="0" applyNumberFormat="1" applyFont="1" applyBorder="1" applyAlignment="1" applyProtection="1">
      <alignment horizontal="right"/>
    </xf>
    <xf numFmtId="15" fontId="1" fillId="0" borderId="10" xfId="60" applyNumberFormat="1" applyFont="1" applyFill="1" applyBorder="1" applyAlignment="1" applyProtection="1">
      <alignment horizontal="center"/>
      <protection locked="0"/>
    </xf>
    <xf numFmtId="15" fontId="135" fillId="0" borderId="10" xfId="60" applyNumberFormat="1" applyFill="1" applyBorder="1" applyAlignment="1" applyProtection="1">
      <alignment horizontal="center"/>
      <protection locked="0"/>
    </xf>
    <xf numFmtId="164" fontId="102" fillId="0" borderId="73" xfId="0" applyNumberFormat="1" applyFont="1" applyBorder="1" applyAlignment="1" applyProtection="1">
      <alignment horizontal="right"/>
    </xf>
    <xf numFmtId="0" fontId="67" fillId="30" borderId="133" xfId="0" applyFont="1" applyFill="1" applyBorder="1" applyAlignment="1" applyProtection="1">
      <alignment horizontal="left" vertical="center" wrapText="1"/>
    </xf>
    <xf numFmtId="0" fontId="67" fillId="30" borderId="35" xfId="0" applyFont="1" applyFill="1" applyBorder="1" applyAlignment="1" applyProtection="1">
      <alignment horizontal="left" vertical="center" wrapText="1"/>
    </xf>
    <xf numFmtId="0" fontId="67" fillId="30" borderId="134" xfId="0" applyFont="1" applyFill="1" applyBorder="1" applyAlignment="1" applyProtection="1">
      <alignment horizontal="left" vertical="center" wrapText="1"/>
    </xf>
    <xf numFmtId="0" fontId="67" fillId="30" borderId="135" xfId="0" applyFont="1" applyFill="1" applyBorder="1" applyAlignment="1" applyProtection="1">
      <alignment horizontal="left" vertical="center" wrapText="1"/>
    </xf>
    <xf numFmtId="0" fontId="67" fillId="30" borderId="136" xfId="0" applyFont="1" applyFill="1" applyBorder="1" applyAlignment="1" applyProtection="1">
      <alignment horizontal="left" vertical="center" wrapText="1"/>
    </xf>
    <xf numFmtId="0" fontId="67" fillId="30" borderId="137" xfId="0" applyFont="1" applyFill="1" applyBorder="1" applyAlignment="1" applyProtection="1">
      <alignment horizontal="left" vertical="center" wrapText="1"/>
    </xf>
    <xf numFmtId="49" fontId="2" fillId="33" borderId="124" xfId="0" applyNumberFormat="1" applyFont="1" applyFill="1" applyBorder="1" applyAlignment="1" applyProtection="1">
      <alignment horizontal="left" vertical="center" wrapText="1"/>
      <protection locked="0"/>
    </xf>
    <xf numFmtId="49" fontId="67" fillId="33" borderId="10" xfId="0" applyNumberFormat="1" applyFont="1" applyFill="1" applyBorder="1" applyAlignment="1" applyProtection="1">
      <alignment horizontal="left" vertical="center" wrapText="1"/>
      <protection locked="0"/>
    </xf>
    <xf numFmtId="49" fontId="67" fillId="33" borderId="34" xfId="0" applyNumberFormat="1" applyFont="1" applyFill="1" applyBorder="1" applyAlignment="1" applyProtection="1">
      <alignment horizontal="left" vertical="center" wrapText="1"/>
      <protection locked="0"/>
    </xf>
    <xf numFmtId="49" fontId="67" fillId="33" borderId="124" xfId="0" applyNumberFormat="1" applyFont="1" applyFill="1" applyBorder="1" applyAlignment="1" applyProtection="1">
      <alignment horizontal="left" vertical="center" wrapText="1"/>
      <protection locked="0"/>
    </xf>
    <xf numFmtId="164" fontId="15" fillId="34" borderId="10" xfId="60" applyFont="1" applyFill="1" applyBorder="1" applyAlignment="1" applyProtection="1">
      <alignment horizontal="center"/>
      <protection locked="0"/>
    </xf>
    <xf numFmtId="49" fontId="0" fillId="0" borderId="10" xfId="0" applyNumberFormat="1" applyBorder="1" applyAlignment="1" applyProtection="1">
      <alignment horizontal="center"/>
      <protection locked="0"/>
    </xf>
    <xf numFmtId="49" fontId="2" fillId="29" borderId="36" xfId="0" applyNumberFormat="1" applyFont="1" applyFill="1" applyBorder="1" applyAlignment="1" applyProtection="1">
      <alignment horizontal="center" vertical="center" wrapText="1"/>
      <protection locked="0"/>
    </xf>
    <xf numFmtId="49" fontId="67" fillId="29" borderId="36" xfId="0" applyNumberFormat="1" applyFont="1" applyFill="1" applyBorder="1" applyAlignment="1" applyProtection="1">
      <alignment horizontal="center" vertical="center" wrapText="1"/>
      <protection locked="0"/>
    </xf>
    <xf numFmtId="0" fontId="0" fillId="0" borderId="138" xfId="0" applyBorder="1" applyAlignment="1" applyProtection="1">
      <alignment horizontal="center"/>
    </xf>
    <xf numFmtId="0" fontId="0" fillId="0" borderId="80" xfId="0" applyBorder="1" applyAlignment="1" applyProtection="1">
      <alignment horizontal="center"/>
    </xf>
    <xf numFmtId="164" fontId="84" fillId="0" borderId="139" xfId="0" applyNumberFormat="1" applyFont="1" applyBorder="1" applyAlignment="1" applyProtection="1">
      <alignment horizontal="right"/>
    </xf>
    <xf numFmtId="0" fontId="120" fillId="0" borderId="139" xfId="0" applyFont="1" applyBorder="1" applyAlignment="1"/>
    <xf numFmtId="164" fontId="1" fillId="0" borderId="140" xfId="0" applyNumberFormat="1" applyFont="1" applyFill="1" applyBorder="1" applyAlignment="1" applyProtection="1">
      <alignment horizontal="left" vertical="center"/>
      <protection locked="0"/>
    </xf>
    <xf numFmtId="0" fontId="0" fillId="0" borderId="141" xfId="0" applyFill="1" applyBorder="1" applyAlignment="1" applyProtection="1">
      <alignment horizontal="left" vertical="center"/>
      <protection locked="0"/>
    </xf>
    <xf numFmtId="0" fontId="0" fillId="0" borderId="142" xfId="0" applyFill="1" applyBorder="1" applyAlignment="1" applyProtection="1">
      <alignment horizontal="left" vertical="center"/>
      <protection locked="0"/>
    </xf>
    <xf numFmtId="0" fontId="2" fillId="29" borderId="128" xfId="0" applyNumberFormat="1" applyFont="1" applyFill="1" applyBorder="1" applyAlignment="1" applyProtection="1">
      <alignment horizontal="center" vertical="center" wrapText="1"/>
      <protection locked="0"/>
    </xf>
    <xf numFmtId="0" fontId="67" fillId="29" borderId="128" xfId="0" applyNumberFormat="1" applyFont="1" applyFill="1" applyBorder="1" applyAlignment="1" applyProtection="1">
      <alignment horizontal="center" vertical="center" wrapText="1"/>
      <protection locked="0"/>
    </xf>
    <xf numFmtId="164" fontId="1" fillId="0" borderId="115" xfId="0" applyNumberFormat="1" applyFont="1" applyBorder="1" applyAlignment="1" applyProtection="1">
      <alignment horizontal="left"/>
    </xf>
    <xf numFmtId="49" fontId="1" fillId="0" borderId="10" xfId="0" applyNumberFormat="1" applyFont="1" applyBorder="1" applyAlignment="1" applyProtection="1">
      <alignment horizontal="left"/>
    </xf>
    <xf numFmtId="0" fontId="67" fillId="0" borderId="133" xfId="0" applyFont="1" applyFill="1" applyBorder="1" applyAlignment="1" applyProtection="1">
      <alignment horizontal="left" vertical="center" wrapText="1"/>
    </xf>
    <xf numFmtId="0" fontId="67" fillId="0" borderId="35" xfId="0" applyFont="1" applyFill="1" applyBorder="1" applyAlignment="1" applyProtection="1">
      <alignment horizontal="left" vertical="center" wrapText="1"/>
    </xf>
    <xf numFmtId="0" fontId="67" fillId="0" borderId="134"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0" fontId="67" fillId="0" borderId="137" xfId="0" applyFont="1" applyFill="1" applyBorder="1" applyAlignment="1" applyProtection="1">
      <alignment horizontal="left" vertical="center" wrapText="1"/>
    </xf>
    <xf numFmtId="49" fontId="67" fillId="29" borderId="143" xfId="0" applyNumberFormat="1" applyFont="1" applyFill="1" applyBorder="1" applyAlignment="1" applyProtection="1">
      <alignment horizontal="left" vertical="center" wrapText="1"/>
      <protection locked="0"/>
    </xf>
    <xf numFmtId="49" fontId="67" fillId="29" borderId="71" xfId="0" applyNumberFormat="1" applyFont="1" applyFill="1" applyBorder="1" applyAlignment="1" applyProtection="1">
      <alignment horizontal="left" vertical="center" wrapText="1"/>
      <protection locked="0"/>
    </xf>
    <xf numFmtId="49" fontId="67" fillId="29" borderId="98" xfId="0" applyNumberFormat="1" applyFont="1" applyFill="1" applyBorder="1" applyAlignment="1" applyProtection="1">
      <alignment horizontal="left" vertical="center" wrapText="1"/>
      <protection locked="0"/>
    </xf>
    <xf numFmtId="0" fontId="67" fillId="30" borderId="128" xfId="0" applyFont="1" applyFill="1" applyBorder="1" applyAlignment="1" applyProtection="1">
      <alignment horizontal="center" vertical="center" wrapText="1"/>
    </xf>
    <xf numFmtId="0" fontId="67" fillId="30" borderId="36" xfId="0" applyFont="1" applyFill="1" applyBorder="1" applyAlignment="1" applyProtection="1">
      <alignment horizontal="center" vertical="center" wrapText="1"/>
    </xf>
    <xf numFmtId="0" fontId="67" fillId="0" borderId="128" xfId="0" applyFont="1" applyFill="1" applyBorder="1" applyAlignment="1" applyProtection="1">
      <alignment horizontal="center" vertical="center" wrapText="1"/>
    </xf>
    <xf numFmtId="0" fontId="67" fillId="0" borderId="36" xfId="0" applyFont="1" applyFill="1" applyBorder="1" applyAlignment="1" applyProtection="1">
      <alignment horizontal="center" vertical="center" wrapText="1"/>
    </xf>
    <xf numFmtId="0" fontId="67" fillId="21" borderId="36" xfId="0" applyNumberFormat="1" applyFont="1" applyFill="1" applyBorder="1" applyAlignment="1" applyProtection="1">
      <alignment horizontal="center" vertical="center" wrapText="1"/>
      <protection locked="0"/>
    </xf>
    <xf numFmtId="0" fontId="67" fillId="29" borderId="150" xfId="0" applyNumberFormat="1" applyFont="1" applyFill="1" applyBorder="1" applyAlignment="1" applyProtection="1">
      <alignment horizontal="center" vertical="center" wrapText="1"/>
      <protection locked="0"/>
    </xf>
    <xf numFmtId="49" fontId="67" fillId="29" borderId="151" xfId="0" applyNumberFormat="1" applyFont="1" applyFill="1" applyBorder="1" applyAlignment="1" applyProtection="1">
      <alignment horizontal="center" vertical="center" wrapText="1"/>
      <protection locked="0"/>
    </xf>
    <xf numFmtId="9" fontId="33" fillId="0" borderId="144" xfId="58" applyFont="1" applyFill="1" applyBorder="1" applyAlignment="1" applyProtection="1">
      <alignment horizontal="center" vertical="center"/>
    </xf>
    <xf numFmtId="9" fontId="33" fillId="0" borderId="145" xfId="58" applyFont="1" applyFill="1" applyBorder="1" applyAlignment="1" applyProtection="1">
      <alignment horizontal="center" vertical="center"/>
    </xf>
    <xf numFmtId="9" fontId="33" fillId="0" borderId="146" xfId="58" applyFont="1" applyFill="1" applyBorder="1" applyAlignment="1" applyProtection="1">
      <alignment horizontal="center" vertical="center"/>
    </xf>
    <xf numFmtId="0" fontId="0" fillId="35" borderId="147" xfId="0" applyFill="1" applyBorder="1" applyAlignment="1" applyProtection="1">
      <alignment horizontal="center"/>
    </xf>
    <xf numFmtId="0" fontId="0" fillId="35" borderId="148" xfId="0" applyFill="1" applyBorder="1" applyAlignment="1" applyProtection="1">
      <alignment horizontal="center"/>
    </xf>
    <xf numFmtId="0" fontId="0" fillId="35" borderId="149" xfId="0" applyFill="1" applyBorder="1" applyAlignment="1" applyProtection="1">
      <alignment horizontal="center"/>
    </xf>
    <xf numFmtId="164" fontId="105" fillId="32" borderId="0" xfId="40" applyFont="1" applyFill="1" applyAlignment="1" applyProtection="1">
      <alignment horizontal="center" vertical="center"/>
    </xf>
    <xf numFmtId="164" fontId="24" fillId="22" borderId="31" xfId="60" applyFont="1" applyFill="1" applyBorder="1" applyAlignment="1" applyProtection="1">
      <alignment horizontal="center"/>
    </xf>
    <xf numFmtId="164" fontId="33" fillId="22" borderId="0" xfId="52" applyFont="1" applyFill="1" applyAlignment="1" applyProtection="1">
      <alignment horizontal="center" vertical="center" wrapText="1"/>
    </xf>
    <xf numFmtId="173" fontId="24" fillId="22" borderId="31" xfId="60" applyNumberFormat="1" applyFont="1" applyFill="1" applyBorder="1" applyAlignment="1" applyProtection="1">
      <alignment horizontal="center" vertical="center"/>
    </xf>
    <xf numFmtId="164" fontId="1" fillId="0" borderId="31" xfId="60" applyFont="1" applyBorder="1" applyAlignment="1" applyProtection="1">
      <alignment horizontal="right"/>
    </xf>
    <xf numFmtId="164" fontId="1" fillId="0" borderId="31" xfId="60" applyFont="1" applyFill="1" applyBorder="1" applyAlignment="1" applyProtection="1">
      <alignment horizontal="right"/>
    </xf>
    <xf numFmtId="164" fontId="20" fillId="0" borderId="0" xfId="52" applyFont="1" applyFill="1" applyAlignment="1" applyProtection="1">
      <alignment horizontal="right" vertical="center"/>
    </xf>
    <xf numFmtId="164" fontId="24" fillId="22" borderId="0" xfId="52" applyFont="1" applyFill="1" applyAlignment="1" applyProtection="1">
      <alignment horizontal="center" vertical="center" wrapText="1"/>
    </xf>
    <xf numFmtId="164" fontId="115" fillId="31" borderId="31" xfId="60" applyFont="1" applyFill="1" applyBorder="1" applyAlignment="1" applyProtection="1">
      <alignment horizontal="center"/>
    </xf>
    <xf numFmtId="15" fontId="24" fillId="22" borderId="31" xfId="60" applyNumberFormat="1" applyFont="1" applyFill="1" applyBorder="1" applyAlignment="1" applyProtection="1">
      <alignment horizontal="center"/>
    </xf>
    <xf numFmtId="0" fontId="0" fillId="0" borderId="31" xfId="0" applyBorder="1" applyAlignment="1"/>
    <xf numFmtId="0" fontId="131" fillId="0" borderId="153" xfId="0" applyFont="1" applyFill="1" applyBorder="1" applyAlignment="1" applyProtection="1">
      <alignment horizontal="left" wrapText="1"/>
    </xf>
    <xf numFmtId="0" fontId="131" fillId="0" borderId="105" xfId="0" applyFont="1" applyFill="1" applyBorder="1" applyAlignment="1" applyProtection="1">
      <alignment horizontal="left" wrapText="1"/>
    </xf>
    <xf numFmtId="0" fontId="131" fillId="0" borderId="154" xfId="0" applyFont="1" applyFill="1" applyBorder="1" applyAlignment="1" applyProtection="1">
      <alignment horizontal="left" wrapText="1"/>
    </xf>
    <xf numFmtId="0" fontId="131" fillId="0" borderId="155" xfId="0" applyFont="1" applyFill="1" applyBorder="1" applyAlignment="1" applyProtection="1">
      <alignment horizontal="left" wrapText="1"/>
    </xf>
    <xf numFmtId="164" fontId="14" fillId="0" borderId="0" xfId="0" applyNumberFormat="1" applyFont="1" applyAlignment="1" applyProtection="1">
      <alignment horizontal="center" wrapText="1"/>
    </xf>
    <xf numFmtId="164" fontId="28" fillId="0" borderId="0" xfId="0" applyNumberFormat="1" applyFont="1" applyAlignment="1" applyProtection="1">
      <alignment horizontal="right"/>
    </xf>
    <xf numFmtId="15" fontId="28" fillId="0" borderId="0" xfId="0" applyNumberFormat="1" applyFont="1" applyAlignment="1" applyProtection="1">
      <alignment horizontal="right"/>
    </xf>
    <xf numFmtId="164" fontId="14" fillId="0" borderId="0" xfId="0" applyNumberFormat="1" applyFont="1" applyAlignment="1" applyProtection="1">
      <alignment horizontal="center"/>
    </xf>
    <xf numFmtId="164" fontId="28" fillId="0" borderId="0" xfId="0" applyNumberFormat="1" applyFont="1" applyAlignment="1" applyProtection="1">
      <alignment horizontal="left"/>
    </xf>
    <xf numFmtId="164" fontId="15" fillId="31" borderId="0" xfId="60" applyFont="1" applyFill="1" applyBorder="1" applyAlignment="1" applyProtection="1">
      <alignment horizontal="center"/>
    </xf>
    <xf numFmtId="0" fontId="130" fillId="0" borderId="0" xfId="0" applyFont="1" applyAlignment="1" applyProtection="1">
      <alignment horizontal="center"/>
    </xf>
    <xf numFmtId="0" fontId="111" fillId="0" borderId="0" xfId="0" applyFont="1" applyAlignment="1" applyProtection="1">
      <alignment horizontal="center"/>
    </xf>
    <xf numFmtId="164" fontId="110" fillId="0" borderId="147" xfId="0" applyNumberFormat="1" applyFont="1" applyBorder="1" applyAlignment="1" applyProtection="1">
      <alignment horizontal="center" vertical="center" wrapText="1"/>
    </xf>
    <xf numFmtId="164" fontId="110" fillId="0" borderId="148" xfId="0" applyNumberFormat="1" applyFont="1" applyBorder="1" applyAlignment="1" applyProtection="1">
      <alignment horizontal="center" vertical="center" wrapText="1"/>
    </xf>
    <xf numFmtId="164" fontId="110" fillId="0" borderId="149" xfId="0" applyNumberFormat="1" applyFont="1" applyBorder="1" applyAlignment="1" applyProtection="1">
      <alignment horizontal="center" vertical="center" wrapText="1"/>
    </xf>
    <xf numFmtId="0" fontId="0" fillId="0" borderId="152" xfId="0" applyBorder="1" applyAlignment="1" applyProtection="1">
      <alignment horizontal="center"/>
    </xf>
    <xf numFmtId="0" fontId="0" fillId="0" borderId="85" xfId="0" applyBorder="1" applyAlignment="1" applyProtection="1">
      <alignment horizontal="center"/>
    </xf>
    <xf numFmtId="0" fontId="30" fillId="21" borderId="34" xfId="0" applyFont="1" applyFill="1" applyBorder="1" applyAlignment="1" applyProtection="1">
      <alignment horizontal="left" wrapText="1"/>
      <protection locked="0"/>
    </xf>
    <xf numFmtId="0" fontId="0" fillId="0" borderId="35" xfId="0" applyBorder="1" applyAlignment="1" applyProtection="1">
      <alignment horizontal="left" wrapText="1"/>
      <protection locked="0"/>
    </xf>
    <xf numFmtId="0" fontId="0" fillId="0" borderId="36" xfId="0" applyBorder="1" applyAlignment="1" applyProtection="1">
      <alignment horizontal="left" wrapText="1"/>
      <protection locked="0"/>
    </xf>
    <xf numFmtId="0" fontId="34" fillId="21" borderId="34" xfId="0" applyFont="1" applyFill="1" applyBorder="1" applyAlignment="1" applyProtection="1">
      <alignment horizontal="left" wrapText="1"/>
      <protection locked="0"/>
    </xf>
    <xf numFmtId="0" fontId="34" fillId="21" borderId="35" xfId="0" applyFont="1" applyFill="1" applyBorder="1" applyAlignment="1" applyProtection="1">
      <alignment horizontal="left" wrapText="1"/>
      <protection locked="0"/>
    </xf>
    <xf numFmtId="0" fontId="34" fillId="21" borderId="36" xfId="0" applyFont="1" applyFill="1" applyBorder="1" applyAlignment="1" applyProtection="1">
      <alignment horizontal="left" wrapText="1"/>
      <protection locked="0"/>
    </xf>
    <xf numFmtId="0" fontId="0" fillId="0" borderId="140" xfId="0" applyFill="1" applyBorder="1" applyAlignment="1" applyProtection="1">
      <alignment horizontal="center" vertical="center"/>
    </xf>
    <xf numFmtId="0" fontId="0" fillId="0" borderId="141" xfId="0" applyFill="1" applyBorder="1" applyAlignment="1" applyProtection="1">
      <alignment horizontal="center" vertical="center"/>
    </xf>
    <xf numFmtId="0" fontId="0" fillId="0" borderId="142" xfId="0" applyFill="1" applyBorder="1" applyAlignment="1" applyProtection="1">
      <alignment horizontal="center" vertical="center"/>
    </xf>
    <xf numFmtId="164" fontId="28" fillId="0" borderId="0" xfId="0" applyNumberFormat="1" applyFont="1" applyAlignment="1">
      <alignment horizontal="right"/>
    </xf>
    <xf numFmtId="15" fontId="28" fillId="0" borderId="0" xfId="0" applyNumberFormat="1" applyFont="1" applyAlignment="1">
      <alignment horizontal="right"/>
    </xf>
    <xf numFmtId="0" fontId="0" fillId="0" borderId="35" xfId="0" applyBorder="1" applyAlignment="1">
      <alignment horizontal="left" wrapText="1"/>
    </xf>
    <xf numFmtId="0" fontId="0" fillId="0" borderId="36" xfId="0" applyBorder="1" applyAlignment="1">
      <alignment horizontal="left" wrapText="1"/>
    </xf>
    <xf numFmtId="164" fontId="14" fillId="0" borderId="0" xfId="0" applyNumberFormat="1" applyFont="1" applyAlignment="1">
      <alignment horizontal="center"/>
    </xf>
    <xf numFmtId="0" fontId="14" fillId="0" borderId="0" xfId="0" applyFont="1" applyBorder="1" applyAlignment="1">
      <alignment horizontal="center"/>
    </xf>
    <xf numFmtId="164" fontId="28" fillId="0" borderId="0" xfId="0" applyNumberFormat="1" applyFont="1" applyAlignment="1">
      <alignment horizontal="left"/>
    </xf>
    <xf numFmtId="164" fontId="61" fillId="32" borderId="0" xfId="50" applyFont="1" applyFill="1" applyAlignment="1">
      <alignment horizontal="center" vertical="center"/>
    </xf>
    <xf numFmtId="0" fontId="130" fillId="0" borderId="0" xfId="0" applyFont="1" applyAlignment="1">
      <alignment horizontal="center"/>
    </xf>
    <xf numFmtId="0" fontId="111" fillId="0" borderId="0" xfId="0" applyFont="1" applyAlignment="1">
      <alignment horizontal="center"/>
    </xf>
    <xf numFmtId="0" fontId="85" fillId="0" borderId="0" xfId="0" applyFont="1" applyAlignment="1">
      <alignment horizontal="left" wrapText="1"/>
    </xf>
    <xf numFmtId="0" fontId="34" fillId="21" borderId="34" xfId="0" applyFont="1" applyFill="1" applyBorder="1" applyAlignment="1" applyProtection="1">
      <alignment horizontal="left" vertical="top" wrapText="1"/>
      <protection locked="0"/>
    </xf>
    <xf numFmtId="0" fontId="0" fillId="0" borderId="35" xfId="0" applyBorder="1" applyAlignment="1">
      <alignment horizontal="left" vertical="top" wrapText="1"/>
    </xf>
    <xf numFmtId="0" fontId="0" fillId="0" borderId="36" xfId="0" applyBorder="1" applyAlignment="1">
      <alignment horizontal="left" vertical="top" wrapText="1"/>
    </xf>
    <xf numFmtId="0" fontId="34" fillId="21" borderId="35" xfId="0" applyFont="1" applyFill="1" applyBorder="1" applyAlignment="1" applyProtection="1">
      <alignment horizontal="left" vertical="top" wrapText="1"/>
      <protection locked="0"/>
    </xf>
    <xf numFmtId="0" fontId="34" fillId="21" borderId="36" xfId="0" applyFont="1" applyFill="1" applyBorder="1" applyAlignment="1" applyProtection="1">
      <alignment horizontal="left" vertical="top" wrapText="1"/>
      <protection locked="0"/>
    </xf>
    <xf numFmtId="0" fontId="34" fillId="0" borderId="117" xfId="0" applyFont="1" applyBorder="1" applyAlignment="1" applyProtection="1">
      <alignment horizontal="left" vertical="center"/>
    </xf>
    <xf numFmtId="0" fontId="34" fillId="20" borderId="156"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0" fontId="34" fillId="20" borderId="32" xfId="0" applyFont="1" applyFill="1" applyBorder="1" applyAlignment="1" applyProtection="1">
      <alignment horizontal="left"/>
      <protection locked="0"/>
    </xf>
    <xf numFmtId="0" fontId="34" fillId="0" borderId="10" xfId="0" applyFont="1" applyBorder="1" applyAlignment="1" applyProtection="1">
      <alignment vertical="center" wrapText="1"/>
    </xf>
    <xf numFmtId="9" fontId="28" fillId="0" borderId="34" xfId="58" applyFont="1" applyBorder="1" applyAlignment="1" applyProtection="1">
      <alignment horizontal="center" vertical="center" wrapText="1"/>
    </xf>
    <xf numFmtId="9" fontId="28" fillId="0" borderId="35" xfId="58" applyFont="1" applyBorder="1" applyAlignment="1" applyProtection="1">
      <alignment horizontal="center" vertical="center" wrapText="1"/>
    </xf>
    <xf numFmtId="9" fontId="28" fillId="0" borderId="36" xfId="58" applyFont="1" applyBorder="1" applyAlignment="1" applyProtection="1">
      <alignment horizontal="center" vertical="center" wrapText="1"/>
    </xf>
    <xf numFmtId="0" fontId="34" fillId="20" borderId="117" xfId="0" applyFont="1" applyFill="1" applyBorder="1" applyAlignment="1" applyProtection="1">
      <alignment horizontal="left"/>
    </xf>
    <xf numFmtId="0" fontId="34" fillId="20" borderId="117" xfId="0" applyFont="1" applyFill="1" applyBorder="1" applyAlignment="1" applyProtection="1">
      <alignment horizontal="left" vertical="center" wrapText="1"/>
    </xf>
    <xf numFmtId="0" fontId="34" fillId="0" borderId="34" xfId="0" applyFont="1" applyBorder="1" applyAlignment="1" applyProtection="1">
      <alignment vertical="center" wrapText="1"/>
    </xf>
    <xf numFmtId="0" fontId="34" fillId="0" borderId="35" xfId="0" applyFont="1" applyBorder="1" applyAlignment="1" applyProtection="1">
      <alignment vertical="center" wrapText="1"/>
    </xf>
    <xf numFmtId="0" fontId="34" fillId="0" borderId="36" xfId="0" applyFont="1" applyBorder="1" applyAlignment="1" applyProtection="1">
      <alignment vertical="center" wrapText="1"/>
    </xf>
    <xf numFmtId="9" fontId="34" fillId="21" borderId="10" xfId="58" applyFont="1" applyFill="1" applyBorder="1" applyAlignment="1" applyProtection="1">
      <alignment horizontal="left" vertical="center" wrapText="1"/>
      <protection locked="0"/>
    </xf>
    <xf numFmtId="0" fontId="34" fillId="20" borderId="0" xfId="0" applyFont="1" applyFill="1" applyBorder="1" applyAlignment="1" applyProtection="1">
      <alignment horizontal="left"/>
    </xf>
    <xf numFmtId="0" fontId="33" fillId="0" borderId="100"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20" borderId="0" xfId="0" applyFont="1" applyFill="1" applyAlignment="1" applyProtection="1">
      <alignment horizontal="center" vertical="center" wrapText="1"/>
    </xf>
    <xf numFmtId="0" fontId="34" fillId="20" borderId="0" xfId="0" applyFont="1" applyFill="1" applyAlignment="1" applyProtection="1">
      <alignment horizontal="left"/>
      <protection locked="0"/>
    </xf>
    <xf numFmtId="0" fontId="34" fillId="0" borderId="34" xfId="0" applyFont="1" applyBorder="1" applyAlignment="1" applyProtection="1">
      <alignment horizontal="center" vertical="center"/>
    </xf>
    <xf numFmtId="0" fontId="34" fillId="0" borderId="35" xfId="0" applyFont="1" applyBorder="1" applyAlignment="1" applyProtection="1">
      <alignment horizontal="center" vertical="center"/>
    </xf>
    <xf numFmtId="0" fontId="34" fillId="0" borderId="36" xfId="0" applyFont="1" applyBorder="1" applyAlignment="1" applyProtection="1">
      <alignment horizontal="center" vertical="center"/>
    </xf>
    <xf numFmtId="9" fontId="37" fillId="35" borderId="34" xfId="58" applyFont="1" applyFill="1" applyBorder="1" applyAlignment="1" applyProtection="1">
      <alignment horizontal="center" vertical="center" wrapText="1"/>
    </xf>
    <xf numFmtId="9" fontId="37" fillId="35" borderId="36" xfId="58" applyFont="1" applyFill="1" applyBorder="1" applyAlignment="1" applyProtection="1">
      <alignment horizontal="center" vertical="center" wrapText="1"/>
    </xf>
    <xf numFmtId="9" fontId="37" fillId="36" borderId="34" xfId="58" applyFont="1" applyFill="1" applyBorder="1" applyAlignment="1" applyProtection="1">
      <alignment horizontal="center" vertical="center" wrapText="1"/>
    </xf>
    <xf numFmtId="9" fontId="37" fillId="36" borderId="36" xfId="58" applyFont="1" applyFill="1" applyBorder="1" applyAlignment="1" applyProtection="1">
      <alignment horizontal="center" vertical="center" wrapText="1"/>
    </xf>
    <xf numFmtId="164" fontId="61" fillId="32" borderId="0" xfId="50" applyFont="1" applyFill="1" applyAlignment="1" applyProtection="1">
      <alignment horizontal="center" vertical="center"/>
    </xf>
    <xf numFmtId="164" fontId="130" fillId="0" borderId="0" xfId="0" applyNumberFormat="1" applyFont="1" applyAlignment="1" applyProtection="1">
      <alignment horizontal="center"/>
    </xf>
    <xf numFmtId="164" fontId="111" fillId="0" borderId="0" xfId="0" applyNumberFormat="1" applyFont="1" applyAlignment="1" applyProtection="1">
      <alignment horizontal="center"/>
    </xf>
    <xf numFmtId="164" fontId="33" fillId="0" borderId="0" xfId="0" applyNumberFormat="1" applyFont="1" applyAlignment="1" applyProtection="1">
      <alignment horizontal="center"/>
    </xf>
    <xf numFmtId="164" fontId="15" fillId="31" borderId="0" xfId="61" applyFont="1" applyFill="1" applyBorder="1" applyAlignment="1" applyProtection="1">
      <alignment horizontal="center"/>
    </xf>
    <xf numFmtId="9" fontId="2" fillId="0" borderId="157" xfId="58" applyNumberFormat="1" applyFont="1" applyFill="1" applyBorder="1" applyAlignment="1" applyProtection="1">
      <alignment horizontal="left" vertical="center" wrapText="1"/>
    </xf>
    <xf numFmtId="0" fontId="2" fillId="0" borderId="158" xfId="58" applyNumberFormat="1" applyFont="1" applyFill="1" applyBorder="1" applyAlignment="1" applyProtection="1">
      <alignment horizontal="left" vertical="center" wrapText="1"/>
    </xf>
    <xf numFmtId="0" fontId="2" fillId="0" borderId="159" xfId="58" applyNumberFormat="1" applyFont="1" applyFill="1" applyBorder="1" applyAlignment="1" applyProtection="1">
      <alignment horizontal="left" vertical="center" wrapText="1"/>
    </xf>
    <xf numFmtId="3" fontId="60" fillId="21" borderId="160" xfId="0" applyNumberFormat="1" applyFont="1" applyFill="1" applyBorder="1" applyAlignment="1" applyProtection="1">
      <alignment horizontal="center" vertical="center"/>
    </xf>
    <xf numFmtId="0" fontId="60" fillId="21" borderId="161" xfId="0" applyFont="1" applyFill="1" applyBorder="1" applyAlignment="1" applyProtection="1">
      <alignment horizontal="center" vertical="center"/>
    </xf>
    <xf numFmtId="0" fontId="60" fillId="21" borderId="162" xfId="0" applyFont="1" applyFill="1" applyBorder="1" applyAlignment="1" applyProtection="1">
      <alignment horizontal="center" vertical="center"/>
    </xf>
    <xf numFmtId="0" fontId="80" fillId="0" borderId="163" xfId="0" applyNumberFormat="1" applyFont="1" applyFill="1" applyBorder="1" applyAlignment="1" applyProtection="1">
      <alignment horizontal="left" vertical="center" wrapText="1"/>
    </xf>
    <xf numFmtId="0" fontId="80" fillId="0" borderId="164" xfId="0" applyNumberFormat="1" applyFont="1" applyFill="1" applyBorder="1" applyAlignment="1" applyProtection="1">
      <alignment horizontal="left" vertical="center" wrapText="1"/>
    </xf>
    <xf numFmtId="0" fontId="80" fillId="0" borderId="165" xfId="0" applyNumberFormat="1" applyFont="1" applyFill="1" applyBorder="1" applyAlignment="1" applyProtection="1">
      <alignment horizontal="left" vertical="center" wrapText="1"/>
    </xf>
    <xf numFmtId="0" fontId="2" fillId="21" borderId="166" xfId="0" applyFont="1" applyFill="1" applyBorder="1" applyAlignment="1" applyProtection="1">
      <alignment horizontal="center" vertical="top" wrapText="1"/>
      <protection locked="0"/>
    </xf>
    <xf numFmtId="0" fontId="2" fillId="21" borderId="167" xfId="0" applyFont="1" applyFill="1" applyBorder="1" applyAlignment="1" applyProtection="1">
      <alignment horizontal="center" vertical="top" wrapText="1"/>
      <protection locked="0"/>
    </xf>
    <xf numFmtId="0" fontId="2" fillId="21" borderId="168" xfId="0" applyFont="1" applyFill="1" applyBorder="1" applyAlignment="1" applyProtection="1">
      <alignment horizontal="center" vertical="top" wrapText="1"/>
      <protection locked="0"/>
    </xf>
    <xf numFmtId="0" fontId="2" fillId="21" borderId="184" xfId="0" applyFont="1" applyFill="1" applyBorder="1" applyAlignment="1" applyProtection="1">
      <alignment horizontal="center" vertical="top" wrapText="1"/>
      <protection locked="0"/>
    </xf>
    <xf numFmtId="0" fontId="2" fillId="21" borderId="185" xfId="0" applyFont="1" applyFill="1" applyBorder="1" applyAlignment="1" applyProtection="1">
      <alignment horizontal="center" vertical="top" wrapText="1"/>
      <protection locked="0"/>
    </xf>
    <xf numFmtId="0" fontId="2" fillId="21" borderId="186" xfId="0" applyFont="1" applyFill="1" applyBorder="1" applyAlignment="1" applyProtection="1">
      <alignment horizontal="center" vertical="top" wrapText="1"/>
      <protection locked="0"/>
    </xf>
    <xf numFmtId="0" fontId="2" fillId="0" borderId="157" xfId="58" applyNumberFormat="1" applyFont="1" applyFill="1" applyBorder="1" applyAlignment="1" applyProtection="1">
      <alignment horizontal="left" vertical="center" wrapText="1"/>
    </xf>
    <xf numFmtId="0" fontId="80" fillId="0" borderId="173" xfId="0" applyNumberFormat="1" applyFont="1" applyFill="1" applyBorder="1" applyAlignment="1" applyProtection="1">
      <alignment horizontal="left" vertical="top" wrapText="1"/>
    </xf>
    <xf numFmtId="0" fontId="80" fillId="0" borderId="174" xfId="0" applyNumberFormat="1" applyFont="1" applyFill="1" applyBorder="1" applyAlignment="1" applyProtection="1">
      <alignment horizontal="left" vertical="top" wrapText="1"/>
    </xf>
    <xf numFmtId="3" fontId="79" fillId="19" borderId="12" xfId="0" applyNumberFormat="1" applyFont="1" applyFill="1" applyBorder="1" applyAlignment="1" applyProtection="1">
      <alignment horizontal="center" vertical="center"/>
    </xf>
    <xf numFmtId="0" fontId="79" fillId="19" borderId="12" xfId="0" applyFont="1" applyFill="1" applyBorder="1" applyAlignment="1" applyProtection="1">
      <alignment horizontal="center" vertical="center"/>
    </xf>
    <xf numFmtId="0" fontId="80" fillId="0" borderId="187" xfId="0" applyNumberFormat="1" applyFont="1" applyFill="1" applyBorder="1" applyAlignment="1" applyProtection="1">
      <alignment horizontal="left" vertical="top" wrapText="1"/>
    </xf>
    <xf numFmtId="0" fontId="80" fillId="0" borderId="188" xfId="0" applyNumberFormat="1" applyFont="1" applyFill="1" applyBorder="1" applyAlignment="1" applyProtection="1">
      <alignment horizontal="left" vertical="top" wrapText="1"/>
    </xf>
    <xf numFmtId="0" fontId="80" fillId="0" borderId="171"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49" fontId="2" fillId="23" borderId="190" xfId="0" applyNumberFormat="1" applyFont="1" applyFill="1" applyBorder="1" applyAlignment="1" applyProtection="1">
      <alignment horizontal="center" vertical="center"/>
      <protection locked="0"/>
    </xf>
    <xf numFmtId="49" fontId="2" fillId="23" borderId="158" xfId="0" applyNumberFormat="1" applyFont="1" applyFill="1" applyBorder="1" applyAlignment="1" applyProtection="1">
      <alignment horizontal="center" vertical="center"/>
      <protection locked="0"/>
    </xf>
    <xf numFmtId="49" fontId="2" fillId="23" borderId="191" xfId="0" applyNumberFormat="1" applyFont="1" applyFill="1" applyBorder="1" applyAlignment="1" applyProtection="1">
      <alignment horizontal="center" vertical="center"/>
      <protection locked="0"/>
    </xf>
    <xf numFmtId="49" fontId="2" fillId="23" borderId="192" xfId="0" applyNumberFormat="1" applyFont="1" applyFill="1" applyBorder="1" applyAlignment="1" applyProtection="1">
      <alignment horizontal="center" vertical="center"/>
      <protection locked="0"/>
    </xf>
    <xf numFmtId="49" fontId="2" fillId="23" borderId="193" xfId="0" applyNumberFormat="1" applyFont="1" applyFill="1" applyBorder="1" applyAlignment="1" applyProtection="1">
      <alignment horizontal="center" vertical="center"/>
      <protection locked="0"/>
    </xf>
    <xf numFmtId="49" fontId="2" fillId="23" borderId="194" xfId="0" applyNumberFormat="1" applyFont="1" applyFill="1" applyBorder="1" applyAlignment="1" applyProtection="1">
      <alignment horizontal="center" vertical="center"/>
      <protection locked="0"/>
    </xf>
    <xf numFmtId="3" fontId="78" fillId="0" borderId="0" xfId="0" applyNumberFormat="1" applyFont="1" applyFill="1" applyBorder="1" applyAlignment="1" applyProtection="1">
      <alignment horizontal="center"/>
    </xf>
    <xf numFmtId="0" fontId="78" fillId="0" borderId="175" xfId="0" applyFont="1" applyFill="1" applyBorder="1" applyAlignment="1" applyProtection="1">
      <alignment horizontal="center"/>
    </xf>
    <xf numFmtId="0" fontId="80" fillId="0" borderId="172" xfId="0" applyNumberFormat="1" applyFont="1" applyFill="1" applyBorder="1" applyAlignment="1" applyProtection="1">
      <alignment horizontal="left" vertical="top" wrapText="1"/>
    </xf>
    <xf numFmtId="3" fontId="122" fillId="22" borderId="176" xfId="0" applyNumberFormat="1" applyFont="1" applyFill="1" applyBorder="1" applyAlignment="1" applyProtection="1">
      <alignment horizontal="center" vertical="center"/>
    </xf>
    <xf numFmtId="0" fontId="122" fillId="22" borderId="177" xfId="0" applyFont="1" applyFill="1" applyBorder="1" applyAlignment="1" applyProtection="1">
      <alignment horizontal="center" vertical="center"/>
    </xf>
    <xf numFmtId="0" fontId="0" fillId="0" borderId="177" xfId="0" applyBorder="1" applyAlignment="1">
      <alignment horizontal="center" vertical="center"/>
    </xf>
    <xf numFmtId="3" fontId="122" fillId="22" borderId="178" xfId="0" applyNumberFormat="1" applyFont="1" applyFill="1" applyBorder="1" applyAlignment="1" applyProtection="1">
      <alignment horizontal="center" vertical="center"/>
    </xf>
    <xf numFmtId="0" fontId="122" fillId="22" borderId="179" xfId="0" applyFont="1" applyFill="1" applyBorder="1" applyAlignment="1" applyProtection="1">
      <alignment horizontal="center" vertical="center"/>
    </xf>
    <xf numFmtId="0" fontId="122" fillId="22" borderId="180" xfId="0" applyFont="1" applyFill="1" applyBorder="1" applyAlignment="1" applyProtection="1">
      <alignment horizontal="center" vertical="center"/>
    </xf>
    <xf numFmtId="0" fontId="2" fillId="22" borderId="181" xfId="0" applyFont="1" applyFill="1" applyBorder="1" applyAlignment="1" applyProtection="1">
      <alignment horizontal="center" vertical="top" wrapText="1"/>
      <protection locked="0"/>
    </xf>
    <xf numFmtId="0" fontId="2" fillId="22" borderId="182" xfId="0" applyFont="1" applyFill="1" applyBorder="1" applyAlignment="1" applyProtection="1">
      <alignment horizontal="center" vertical="top" wrapText="1"/>
      <protection locked="0"/>
    </xf>
    <xf numFmtId="0" fontId="2" fillId="22" borderId="183" xfId="0" applyFont="1" applyFill="1" applyBorder="1" applyAlignment="1" applyProtection="1">
      <alignment horizontal="center" vertical="top" wrapText="1"/>
      <protection locked="0"/>
    </xf>
    <xf numFmtId="3" fontId="130" fillId="0" borderId="0" xfId="0" applyNumberFormat="1" applyFont="1" applyBorder="1" applyAlignment="1" applyProtection="1">
      <alignment horizontal="center"/>
    </xf>
    <xf numFmtId="0" fontId="111" fillId="0" borderId="0" xfId="0" applyFont="1" applyBorder="1" applyAlignment="1" applyProtection="1">
      <alignment horizontal="center"/>
    </xf>
    <xf numFmtId="3" fontId="60" fillId="23" borderId="195" xfId="0" applyNumberFormat="1" applyFont="1" applyFill="1" applyBorder="1" applyAlignment="1" applyProtection="1">
      <alignment horizontal="center" vertical="center"/>
    </xf>
    <xf numFmtId="0" fontId="60" fillId="23" borderId="196" xfId="0" applyFont="1" applyFill="1" applyBorder="1" applyAlignment="1" applyProtection="1">
      <alignment horizontal="center" vertical="center"/>
    </xf>
    <xf numFmtId="0" fontId="60" fillId="23" borderId="197" xfId="0" applyFont="1" applyFill="1" applyBorder="1" applyAlignment="1" applyProtection="1">
      <alignment horizontal="center" vertical="center"/>
    </xf>
    <xf numFmtId="0" fontId="2" fillId="22" borderId="198" xfId="0" applyFont="1" applyFill="1" applyBorder="1" applyAlignment="1" applyProtection="1">
      <alignment horizontal="center" vertical="top" wrapText="1"/>
      <protection locked="0"/>
    </xf>
    <xf numFmtId="0" fontId="2" fillId="22" borderId="199" xfId="0" applyFont="1" applyFill="1" applyBorder="1" applyAlignment="1" applyProtection="1">
      <alignment horizontal="center" vertical="top" wrapText="1"/>
      <protection locked="0"/>
    </xf>
    <xf numFmtId="0" fontId="2" fillId="22" borderId="200" xfId="0" applyFont="1" applyFill="1" applyBorder="1" applyAlignment="1" applyProtection="1">
      <alignment horizontal="center" vertical="top" wrapText="1"/>
      <protection locked="0"/>
    </xf>
    <xf numFmtId="0" fontId="2" fillId="22" borderId="201" xfId="0" applyFont="1" applyFill="1" applyBorder="1" applyAlignment="1" applyProtection="1">
      <alignment horizontal="center" vertical="top" wrapText="1"/>
      <protection locked="0"/>
    </xf>
    <xf numFmtId="0" fontId="2" fillId="22" borderId="202" xfId="0" applyFont="1" applyFill="1" applyBorder="1" applyAlignment="1" applyProtection="1">
      <alignment horizontal="center" vertical="top" wrapText="1"/>
      <protection locked="0"/>
    </xf>
    <xf numFmtId="0" fontId="2" fillId="22" borderId="203" xfId="0" applyFont="1" applyFill="1" applyBorder="1" applyAlignment="1" applyProtection="1">
      <alignment horizontal="center" vertical="top" wrapText="1"/>
      <protection locked="0"/>
    </xf>
    <xf numFmtId="3" fontId="78" fillId="0" borderId="204" xfId="0" applyNumberFormat="1" applyFont="1" applyFill="1" applyBorder="1" applyAlignment="1" applyProtection="1">
      <alignment horizontal="center"/>
    </xf>
    <xf numFmtId="49" fontId="2" fillId="23" borderId="205" xfId="0" applyNumberFormat="1" applyFont="1" applyFill="1" applyBorder="1" applyAlignment="1" applyProtection="1">
      <alignment horizontal="center" vertical="center"/>
      <protection locked="0"/>
    </xf>
    <xf numFmtId="49" fontId="2" fillId="23" borderId="13" xfId="0" applyNumberFormat="1" applyFont="1" applyFill="1" applyBorder="1" applyAlignment="1" applyProtection="1">
      <alignment horizontal="center" vertical="center"/>
      <protection locked="0"/>
    </xf>
    <xf numFmtId="49" fontId="2" fillId="23" borderId="206" xfId="0" applyNumberFormat="1" applyFont="1" applyFill="1" applyBorder="1" applyAlignment="1" applyProtection="1">
      <alignment horizontal="center" vertical="center"/>
      <protection locked="0"/>
    </xf>
    <xf numFmtId="0" fontId="78" fillId="0" borderId="204" xfId="0" applyFont="1" applyFill="1" applyBorder="1" applyAlignment="1" applyProtection="1">
      <alignment horizontal="center"/>
    </xf>
    <xf numFmtId="0" fontId="80" fillId="0" borderId="169" xfId="0" applyNumberFormat="1" applyFont="1" applyFill="1" applyBorder="1" applyAlignment="1" applyProtection="1">
      <alignment horizontal="left" vertical="top" wrapText="1"/>
    </xf>
    <xf numFmtId="0" fontId="80" fillId="0" borderId="170" xfId="0" applyNumberFormat="1" applyFont="1" applyFill="1" applyBorder="1" applyAlignment="1" applyProtection="1">
      <alignment horizontal="left" vertical="top" wrapText="1"/>
    </xf>
    <xf numFmtId="0" fontId="2" fillId="21" borderId="207" xfId="0" applyFont="1" applyFill="1" applyBorder="1" applyAlignment="1" applyProtection="1">
      <alignment horizontal="center" vertical="top" wrapText="1"/>
      <protection locked="0"/>
    </xf>
    <xf numFmtId="0" fontId="2" fillId="21" borderId="208" xfId="0" applyFont="1" applyFill="1" applyBorder="1" applyAlignment="1" applyProtection="1">
      <alignment horizontal="center" vertical="top" wrapText="1"/>
      <protection locked="0"/>
    </xf>
    <xf numFmtId="0" fontId="2" fillId="21" borderId="209" xfId="0" applyFont="1" applyFill="1" applyBorder="1" applyAlignment="1" applyProtection="1">
      <alignment horizontal="center" vertical="top" wrapText="1"/>
      <protection locked="0"/>
    </xf>
    <xf numFmtId="0" fontId="26" fillId="0" borderId="210" xfId="0" applyFont="1" applyBorder="1" applyAlignment="1" applyProtection="1">
      <alignment horizontal="left"/>
      <protection locked="0"/>
    </xf>
    <xf numFmtId="0" fontId="26" fillId="0" borderId="212" xfId="0" applyFont="1" applyBorder="1" applyAlignment="1" applyProtection="1">
      <alignment horizontal="left"/>
      <protection locked="0"/>
    </xf>
    <xf numFmtId="0" fontId="26" fillId="0" borderId="213" xfId="0" applyFont="1" applyBorder="1" applyAlignment="1" applyProtection="1">
      <alignment horizontal="left"/>
      <protection locked="0"/>
    </xf>
    <xf numFmtId="0" fontId="26" fillId="0" borderId="214" xfId="0" applyFont="1" applyBorder="1" applyAlignment="1" applyProtection="1">
      <alignment horizontal="left"/>
      <protection locked="0"/>
    </xf>
    <xf numFmtId="0" fontId="26" fillId="0" borderId="28" xfId="0" applyFont="1" applyBorder="1" applyAlignment="1" applyProtection="1">
      <alignment horizontal="left"/>
      <protection locked="0"/>
    </xf>
    <xf numFmtId="0" fontId="26" fillId="0" borderId="215" xfId="0" applyFont="1" applyBorder="1" applyAlignment="1" applyProtection="1">
      <alignment horizontal="left"/>
      <protection locked="0"/>
    </xf>
    <xf numFmtId="0" fontId="26" fillId="0" borderId="210" xfId="0" applyFont="1" applyFill="1" applyBorder="1" applyAlignment="1" applyProtection="1">
      <alignment horizontal="left"/>
      <protection locked="0"/>
    </xf>
    <xf numFmtId="0" fontId="26" fillId="0" borderId="212" xfId="0" applyFont="1" applyFill="1" applyBorder="1" applyAlignment="1" applyProtection="1">
      <alignment horizontal="left"/>
      <protection locked="0"/>
    </xf>
    <xf numFmtId="0" fontId="26" fillId="0" borderId="213" xfId="0" applyFont="1" applyFill="1" applyBorder="1" applyAlignment="1" applyProtection="1">
      <alignment horizontal="left"/>
      <protection locked="0"/>
    </xf>
    <xf numFmtId="0" fontId="26" fillId="0" borderId="214" xfId="0" applyFont="1" applyFill="1" applyBorder="1" applyAlignment="1" applyProtection="1">
      <alignment horizontal="left"/>
      <protection locked="0"/>
    </xf>
    <xf numFmtId="0" fontId="26" fillId="0" borderId="216" xfId="0" applyFont="1" applyFill="1" applyBorder="1" applyAlignment="1" applyProtection="1">
      <alignment horizontal="left"/>
      <protection locked="0"/>
    </xf>
    <xf numFmtId="0" fontId="26" fillId="0" borderId="158" xfId="0" applyFont="1" applyFill="1" applyBorder="1" applyAlignment="1" applyProtection="1">
      <alignment horizontal="left"/>
      <protection locked="0"/>
    </xf>
    <xf numFmtId="0" fontId="26" fillId="0" borderId="217" xfId="0" applyFont="1" applyFill="1" applyBorder="1" applyAlignment="1" applyProtection="1">
      <alignment horizontal="left"/>
      <protection locked="0"/>
    </xf>
    <xf numFmtId="0" fontId="26" fillId="0" borderId="218" xfId="0" applyFont="1" applyBorder="1" applyAlignment="1" applyProtection="1">
      <alignment horizontal="left"/>
      <protection locked="0"/>
    </xf>
    <xf numFmtId="0" fontId="124" fillId="24" borderId="72" xfId="55" applyNumberFormat="1" applyFont="1" applyFill="1" applyBorder="1" applyAlignment="1">
      <alignment horizontal="center" vertical="center" wrapText="1"/>
    </xf>
    <xf numFmtId="0" fontId="124" fillId="24" borderId="211" xfId="55" applyNumberFormat="1" applyFont="1" applyFill="1" applyBorder="1" applyAlignment="1">
      <alignment horizontal="center" vertical="center" wrapText="1"/>
    </xf>
    <xf numFmtId="164" fontId="15" fillId="31" borderId="0" xfId="62" applyFont="1" applyFill="1" applyBorder="1" applyAlignment="1" applyProtection="1">
      <alignment horizontal="center"/>
      <protection locked="0"/>
    </xf>
    <xf numFmtId="0" fontId="26" fillId="0" borderId="28" xfId="0" applyFont="1" applyFill="1" applyBorder="1" applyAlignment="1" applyProtection="1">
      <alignment horizontal="left"/>
      <protection locked="0"/>
    </xf>
    <xf numFmtId="0" fontId="26" fillId="0" borderId="215" xfId="0" applyFont="1" applyFill="1" applyBorder="1" applyAlignment="1" applyProtection="1">
      <alignment horizontal="left"/>
      <protection locked="0"/>
    </xf>
    <xf numFmtId="0" fontId="124" fillId="24" borderId="222" xfId="55" applyNumberFormat="1" applyFont="1" applyFill="1" applyBorder="1" applyAlignment="1">
      <alignment horizontal="center" vertical="center" wrapText="1"/>
    </xf>
    <xf numFmtId="0" fontId="124" fillId="24" borderId="223" xfId="55" applyNumberFormat="1" applyFont="1" applyFill="1" applyBorder="1" applyAlignment="1">
      <alignment horizontal="center" vertical="center" wrapText="1"/>
    </xf>
    <xf numFmtId="0" fontId="124" fillId="24" borderId="224" xfId="55" applyNumberFormat="1" applyFont="1" applyFill="1" applyBorder="1" applyAlignment="1">
      <alignment horizontal="center" vertical="center" wrapText="1"/>
    </xf>
    <xf numFmtId="0" fontId="0" fillId="21" borderId="116" xfId="0" applyFill="1" applyBorder="1" applyAlignment="1" applyProtection="1">
      <alignment horizontal="center"/>
      <protection locked="0"/>
    </xf>
    <xf numFmtId="0" fontId="0" fillId="21" borderId="117" xfId="0" applyFill="1" applyBorder="1" applyAlignment="1" applyProtection="1">
      <alignment horizontal="center"/>
      <protection locked="0"/>
    </xf>
    <xf numFmtId="0" fontId="0" fillId="21" borderId="118" xfId="0" applyFill="1" applyBorder="1" applyAlignment="1" applyProtection="1">
      <alignment horizontal="center"/>
      <protection locked="0"/>
    </xf>
    <xf numFmtId="0" fontId="0" fillId="21" borderId="97" xfId="0" applyFill="1" applyBorder="1" applyAlignment="1" applyProtection="1">
      <alignment horizontal="center"/>
      <protection locked="0"/>
    </xf>
    <xf numFmtId="0" fontId="0" fillId="21" borderId="100" xfId="0" applyFill="1" applyBorder="1" applyAlignment="1" applyProtection="1">
      <alignment horizontal="center"/>
      <protection locked="0"/>
    </xf>
    <xf numFmtId="0" fontId="0" fillId="21" borderId="102" xfId="0" applyFill="1" applyBorder="1" applyAlignment="1" applyProtection="1">
      <alignment horizontal="center"/>
      <protection locked="0"/>
    </xf>
    <xf numFmtId="0" fontId="26" fillId="0" borderId="158" xfId="0" applyFont="1" applyFill="1" applyBorder="1" applyAlignment="1" applyProtection="1">
      <alignment horizontal="left" vertical="center" wrapText="1"/>
      <protection locked="0"/>
    </xf>
    <xf numFmtId="0" fontId="26" fillId="0" borderId="217" xfId="0" applyFont="1" applyFill="1" applyBorder="1" applyAlignment="1" applyProtection="1">
      <alignment horizontal="left" vertical="center" wrapText="1"/>
      <protection locked="0"/>
    </xf>
    <xf numFmtId="0" fontId="26" fillId="0" borderId="218" xfId="0" applyFont="1" applyFill="1" applyBorder="1" applyAlignment="1" applyProtection="1">
      <alignment horizontal="left"/>
      <protection locked="0"/>
    </xf>
    <xf numFmtId="0" fontId="125" fillId="24" borderId="219" xfId="0" applyNumberFormat="1" applyFont="1" applyFill="1" applyBorder="1" applyAlignment="1">
      <alignment horizontal="center" vertical="center" textRotation="90"/>
    </xf>
    <xf numFmtId="0" fontId="26" fillId="24" borderId="220" xfId="0" applyFont="1" applyFill="1" applyBorder="1" applyAlignment="1">
      <alignment horizontal="center" vertical="center" textRotation="90"/>
    </xf>
    <xf numFmtId="0" fontId="26" fillId="24" borderId="103" xfId="0" applyFont="1" applyFill="1" applyBorder="1" applyAlignment="1">
      <alignment horizontal="center" vertical="center" textRotation="90"/>
    </xf>
    <xf numFmtId="0" fontId="124" fillId="24" borderId="225" xfId="55" applyNumberFormat="1" applyFont="1" applyFill="1" applyBorder="1" applyAlignment="1">
      <alignment horizontal="center" vertical="center" wrapText="1"/>
    </xf>
    <xf numFmtId="0" fontId="26" fillId="0" borderId="226" xfId="0" applyFont="1" applyFill="1" applyBorder="1" applyAlignment="1" applyProtection="1">
      <alignment horizontal="left"/>
      <protection locked="0"/>
    </xf>
    <xf numFmtId="0" fontId="26" fillId="0" borderId="227" xfId="0" applyFont="1" applyFill="1" applyBorder="1" applyAlignment="1" applyProtection="1">
      <alignment horizontal="left" vertical="top" wrapText="1"/>
      <protection locked="0"/>
    </xf>
    <xf numFmtId="0" fontId="26" fillId="0" borderId="228" xfId="0" applyFont="1" applyFill="1" applyBorder="1" applyAlignment="1" applyProtection="1">
      <alignment horizontal="left" vertical="top" wrapText="1"/>
      <protection locked="0"/>
    </xf>
    <xf numFmtId="0" fontId="26" fillId="0" borderId="229" xfId="0" applyFont="1" applyFill="1" applyBorder="1" applyAlignment="1" applyProtection="1">
      <alignment horizontal="left" vertical="top" wrapText="1"/>
      <protection locked="0"/>
    </xf>
    <xf numFmtId="0" fontId="26" fillId="0" borderId="230" xfId="0" applyFont="1" applyFill="1" applyBorder="1" applyAlignment="1" applyProtection="1">
      <alignment horizontal="left" vertical="top" wrapText="1"/>
      <protection locked="0"/>
    </xf>
    <xf numFmtId="0" fontId="26" fillId="0" borderId="193" xfId="0" applyFont="1" applyFill="1" applyBorder="1" applyAlignment="1" applyProtection="1">
      <alignment horizontal="left" vertical="top" wrapText="1"/>
      <protection locked="0"/>
    </xf>
    <xf numFmtId="0" fontId="26" fillId="0" borderId="231" xfId="0" applyFont="1" applyFill="1" applyBorder="1" applyAlignment="1" applyProtection="1">
      <alignment horizontal="left" vertical="top" wrapText="1"/>
      <protection locked="0"/>
    </xf>
    <xf numFmtId="0" fontId="26" fillId="0" borderId="232" xfId="0" applyFont="1" applyFill="1" applyBorder="1" applyAlignment="1" applyProtection="1">
      <alignment horizontal="left"/>
      <protection locked="0"/>
    </xf>
    <xf numFmtId="0" fontId="26" fillId="0" borderId="233" xfId="0" applyFont="1" applyFill="1" applyBorder="1" applyAlignment="1" applyProtection="1">
      <alignment horizontal="left"/>
      <protection locked="0"/>
    </xf>
    <xf numFmtId="0" fontId="26" fillId="0" borderId="234" xfId="0" applyFont="1" applyFill="1" applyBorder="1" applyAlignment="1" applyProtection="1">
      <alignment horizontal="left"/>
      <protection locked="0"/>
    </xf>
    <xf numFmtId="0" fontId="26" fillId="0" borderId="226" xfId="0" applyFont="1" applyBorder="1" applyAlignment="1" applyProtection="1">
      <alignment horizontal="left"/>
      <protection locked="0"/>
    </xf>
    <xf numFmtId="0" fontId="26" fillId="0" borderId="233" xfId="0" applyFont="1" applyFill="1" applyBorder="1" applyAlignment="1" applyProtection="1">
      <alignment horizontal="left" vertical="center" wrapText="1"/>
      <protection locked="0"/>
    </xf>
    <xf numFmtId="0" fontId="26" fillId="0" borderId="234" xfId="0" applyFont="1" applyFill="1" applyBorder="1" applyAlignment="1" applyProtection="1">
      <alignment horizontal="left" vertical="center" wrapText="1"/>
      <protection locked="0"/>
    </xf>
    <xf numFmtId="0" fontId="26" fillId="0" borderId="221" xfId="0" applyFont="1" applyBorder="1" applyAlignment="1" applyProtection="1">
      <alignment horizontal="left"/>
      <protection locked="0"/>
    </xf>
    <xf numFmtId="0" fontId="26" fillId="0" borderId="221" xfId="0" applyFont="1" applyFill="1" applyBorder="1" applyAlignment="1" applyProtection="1">
      <alignment horizontal="left"/>
      <protection locked="0"/>
    </xf>
    <xf numFmtId="0" fontId="26" fillId="0" borderId="235" xfId="0" applyFont="1" applyFill="1" applyBorder="1" applyAlignment="1" applyProtection="1">
      <alignment horizontal="left" vertical="top" wrapText="1"/>
      <protection locked="0"/>
    </xf>
    <xf numFmtId="0" fontId="26" fillId="0" borderId="236" xfId="0" applyFont="1" applyFill="1" applyBorder="1" applyAlignment="1" applyProtection="1">
      <alignment horizontal="left" vertical="top" wrapText="1"/>
      <protection locked="0"/>
    </xf>
    <xf numFmtId="0" fontId="26" fillId="0" borderId="237" xfId="0" applyFont="1" applyFill="1" applyBorder="1" applyAlignment="1" applyProtection="1">
      <alignment horizontal="left" vertical="top" wrapText="1"/>
      <protection locked="0"/>
    </xf>
    <xf numFmtId="0" fontId="26" fillId="0" borderId="238" xfId="0" applyFont="1" applyFill="1" applyBorder="1" applyAlignment="1" applyProtection="1">
      <alignment horizontal="left" vertical="top" wrapText="1"/>
      <protection locked="0"/>
    </xf>
    <xf numFmtId="164" fontId="17" fillId="32" borderId="0" xfId="40" applyFont="1" applyFill="1" applyAlignment="1">
      <alignment horizontal="center" vertical="center"/>
    </xf>
    <xf numFmtId="0" fontId="33" fillId="0" borderId="0" xfId="0" applyFont="1" applyAlignment="1">
      <alignment horizontal="center"/>
    </xf>
  </cellXfs>
  <cellStyles count="6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ueno" xfId="66" builtinId="26" hidden="1"/>
    <cellStyle name="Calculation" xfId="26" xr:uid="{00000000-0005-0000-0000-00001A000000}"/>
    <cellStyle name="Check Cell" xfId="27" xr:uid="{00000000-0005-0000-0000-00001B000000}"/>
    <cellStyle name="Encabezado 1" xfId="65" builtinId="16" hidden="1"/>
    <cellStyle name="Euro" xfId="28" xr:uid="{00000000-0005-0000-0000-00001D000000}"/>
    <cellStyle name="Explanatory Text" xfId="29" xr:uid="{00000000-0005-0000-0000-00001E000000}"/>
    <cellStyle name="Good" xfId="30" xr:uid="{00000000-0005-0000-0000-00001F000000}"/>
    <cellStyle name="Heading 1" xfId="31" xr:uid="{00000000-0005-0000-0000-000020000000}"/>
    <cellStyle name="Heading 2" xfId="32" xr:uid="{00000000-0005-0000-0000-000021000000}"/>
    <cellStyle name="Heading 3" xfId="33" xr:uid="{00000000-0005-0000-0000-000022000000}"/>
    <cellStyle name="Heading 4" xfId="34" xr:uid="{00000000-0005-0000-0000-000023000000}"/>
    <cellStyle name="Input" xfId="35" xr:uid="{00000000-0005-0000-0000-000024000000}"/>
    <cellStyle name="Linked Cell" xfId="36" xr:uid="{00000000-0005-0000-0000-000025000000}"/>
    <cellStyle name="Millares" xfId="37" builtinId="3"/>
    <cellStyle name="Millares 2" xfId="38" xr:uid="{00000000-0005-0000-0000-000027000000}"/>
    <cellStyle name="Millares 3" xfId="39" xr:uid="{00000000-0005-0000-0000-000028000000}"/>
    <cellStyle name="Normal" xfId="0" builtinId="0"/>
    <cellStyle name="Normal 2" xfId="40" xr:uid="{00000000-0005-0000-0000-00002A000000}"/>
    <cellStyle name="Normal 2 2" xfId="41" xr:uid="{00000000-0005-0000-0000-00002B000000}"/>
    <cellStyle name="Normal 2 3" xfId="42" xr:uid="{00000000-0005-0000-0000-00002C000000}"/>
    <cellStyle name="Normal 2 4" xfId="43" xr:uid="{00000000-0005-0000-0000-00002D000000}"/>
    <cellStyle name="Normal 2 5" xfId="44" xr:uid="{00000000-0005-0000-0000-00002E000000}"/>
    <cellStyle name="Normal 2 6" xfId="45" xr:uid="{00000000-0005-0000-0000-00002F000000}"/>
    <cellStyle name="Normal 2 7" xfId="46" xr:uid="{00000000-0005-0000-0000-000030000000}"/>
    <cellStyle name="Normal 2 8" xfId="47" xr:uid="{00000000-0005-0000-0000-000031000000}"/>
    <cellStyle name="Normal 2_Dashboard ver 2.2 ES" xfId="48" xr:uid="{00000000-0005-0000-0000-000032000000}"/>
    <cellStyle name="Normal 2_Ficticia HIV Dashboard_ES - Set Up and Maintenance Guide" xfId="49" xr:uid="{00000000-0005-0000-0000-000033000000}"/>
    <cellStyle name="Normal 2_Prototipo" xfId="50" xr:uid="{00000000-0005-0000-0000-000034000000}"/>
    <cellStyle name="Normal 3" xfId="51" xr:uid="{00000000-0005-0000-0000-000035000000}"/>
    <cellStyle name="Normal 4" xfId="52" xr:uid="{00000000-0005-0000-0000-000036000000}"/>
    <cellStyle name="Normal 5" xfId="53" xr:uid="{00000000-0005-0000-0000-000037000000}"/>
    <cellStyle name="Normal 6" xfId="54" xr:uid="{00000000-0005-0000-0000-000038000000}"/>
    <cellStyle name="Normal_TZ_R3HIV_Phase_2_21_August_08" xfId="55" xr:uid="{00000000-0005-0000-0000-000039000000}"/>
    <cellStyle name="Note" xfId="56" xr:uid="{00000000-0005-0000-0000-00003A000000}"/>
    <cellStyle name="Output" xfId="57" xr:uid="{00000000-0005-0000-0000-00003B000000}"/>
    <cellStyle name="Porcentaje" xfId="58" builtinId="5"/>
    <cellStyle name="Title" xfId="59" xr:uid="{00000000-0005-0000-0000-00003D000000}"/>
    <cellStyle name="Título 3 3" xfId="60" xr:uid="{00000000-0005-0000-0000-00003E000000}"/>
    <cellStyle name="Título 3 3_Prototipo" xfId="61" xr:uid="{00000000-0005-0000-0000-00003F000000}"/>
    <cellStyle name="Título 3 3_PrototipoRep1" xfId="62" xr:uid="{00000000-0005-0000-0000-000040000000}"/>
    <cellStyle name="Título 3 7" xfId="63" xr:uid="{00000000-0005-0000-0000-000041000000}"/>
    <cellStyle name="Warning Text" xfId="64" xr:uid="{00000000-0005-0000-0000-000042000000}"/>
  </cellStyles>
  <dxfs count="41">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40042103705187E-2"/>
          <c:y val="5.2501471369970951E-2"/>
          <c:w val="0.91983466128019342"/>
          <c:h val="0.64314302428214409"/>
        </c:manualLayout>
      </c:layout>
      <c:barChart>
        <c:barDir val="col"/>
        <c:grouping val="clustered"/>
        <c:varyColors val="0"/>
        <c:ser>
          <c:idx val="0"/>
          <c:order val="0"/>
          <c:tx>
            <c:v>Presupuesto acumulado</c:v>
          </c:tx>
          <c:spPr>
            <a:solidFill>
              <a:srgbClr val="993366"/>
            </a:solidFill>
            <a:ln w="3175">
              <a:solidFill>
                <a:srgbClr val="000000"/>
              </a:solidFill>
              <a:prstDash val="solid"/>
            </a:ln>
            <a:effectLst>
              <a:outerShdw blurRad="63500" dist="38100" dir="2700000" algn="br">
                <a:srgbClr val="000000"/>
              </a:outerShdw>
            </a:effectLst>
          </c:spPr>
          <c:invertIfNegative val="0"/>
          <c:val>
            <c:numRef>
              <c:f>'Introducción de datos'!$C$33:$N$33</c:f>
              <c:numCache>
                <c:formatCode>#,##0</c:formatCode>
                <c:ptCount val="12"/>
                <c:pt idx="0">
                  <c:v>359935</c:v>
                </c:pt>
                <c:pt idx="1">
                  <c:v>1660995</c:v>
                </c:pt>
                <c:pt idx="2">
                  <c:v>2775063</c:v>
                </c:pt>
                <c:pt idx="3">
                  <c:v>3492989</c:v>
                </c:pt>
                <c:pt idx="4">
                  <c:v>3963654</c:v>
                </c:pt>
                <c:pt idx="5">
                  <c:v>4964601</c:v>
                </c:pt>
                <c:pt idx="6">
                  <c:v>5331224</c:v>
                </c:pt>
                <c:pt idx="7">
                  <c:v>5649211</c:v>
                </c:pt>
                <c:pt idx="8">
                  <c:v>5770382</c:v>
                </c:pt>
                <c:pt idx="9">
                  <c:v>5895874</c:v>
                </c:pt>
                <c:pt idx="10">
                  <c:v>6029251</c:v>
                </c:pt>
                <c:pt idx="11">
                  <c:v>6264584</c:v>
                </c:pt>
              </c:numCache>
            </c:numRef>
          </c:val>
          <c:extLst>
            <c:ext xmlns:c16="http://schemas.microsoft.com/office/drawing/2014/chart" uri="{C3380CC4-5D6E-409C-BE32-E72D297353CC}">
              <c16:uniqueId val="{00000000-9B83-4BEC-BD9B-CE7546D340B2}"/>
            </c:ext>
          </c:extLst>
        </c:ser>
        <c:ser>
          <c:idx val="1"/>
          <c:order val="1"/>
          <c:tx>
            <c:v>Desembolsos acumulados</c:v>
          </c:tx>
          <c:spPr>
            <a:solidFill>
              <a:srgbClr val="0070C0"/>
            </a:solidFill>
            <a:ln w="3175">
              <a:solidFill>
                <a:srgbClr val="000000"/>
              </a:solidFill>
              <a:prstDash val="solid"/>
            </a:ln>
            <a:effectLst>
              <a:outerShdw blurRad="50800" dist="50800" dir="5400000" algn="ctr" rotWithShape="0">
                <a:schemeClr val="tx1"/>
              </a:outerShdw>
            </a:effectLst>
          </c:spPr>
          <c:invertIfNegative val="0"/>
          <c:val>
            <c:numRef>
              <c:f>'Introducción de datos'!$C$34:$N$34</c:f>
              <c:numCache>
                <c:formatCode>#,##0</c:formatCode>
                <c:ptCount val="12"/>
                <c:pt idx="0">
                  <c:v>359934.94</c:v>
                </c:pt>
                <c:pt idx="1">
                  <c:v>1660995.31</c:v>
                </c:pt>
                <c:pt idx="2">
                  <c:v>2775063.64</c:v>
                </c:pt>
                <c:pt idx="3">
                  <c:v>3492989.3000000003</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B83-4BEC-BD9B-CE7546D340B2}"/>
            </c:ext>
          </c:extLst>
        </c:ser>
        <c:dLbls>
          <c:showLegendKey val="0"/>
          <c:showVal val="0"/>
          <c:showCatName val="0"/>
          <c:showSerName val="0"/>
          <c:showPercent val="0"/>
          <c:showBubbleSize val="0"/>
        </c:dLbls>
        <c:gapWidth val="70"/>
        <c:axId val="450831224"/>
        <c:axId val="1"/>
      </c:barChart>
      <c:catAx>
        <c:axId val="450831224"/>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s-PE"/>
                  <a:t>Periodo de referencia</a:t>
                </a:r>
              </a:p>
            </c:rich>
          </c:tx>
          <c:layout>
            <c:manualLayout>
              <c:xMode val="edge"/>
              <c:yMode val="edge"/>
              <c:x val="0.48066271590265053"/>
              <c:y val="0.786956630421197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s-P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s-PE"/>
          </a:p>
        </c:txPr>
        <c:crossAx val="450831224"/>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s-PE"/>
          </a:p>
        </c:txPr>
      </c:legendEntry>
      <c:legendEntry>
        <c:idx val="1"/>
        <c:txPr>
          <a:bodyPr/>
          <a:lstStyle/>
          <a:p>
            <a:pPr>
              <a:defRPr sz="675" b="0" i="0" u="none" strike="noStrike" baseline="0">
                <a:solidFill>
                  <a:srgbClr val="000000"/>
                </a:solidFill>
                <a:latin typeface="Arial"/>
                <a:ea typeface="Arial"/>
                <a:cs typeface="Arial"/>
              </a:defRPr>
            </a:pPr>
            <a:endParaRPr lang="es-PE"/>
          </a:p>
        </c:txPr>
      </c:legendEntry>
      <c:layout>
        <c:manualLayout>
          <c:xMode val="edge"/>
          <c:yMode val="edge"/>
          <c:x val="0.21757352657961779"/>
          <c:y val="0.88744952335503513"/>
          <c:w val="0.67154888657785705"/>
          <c:h val="9.523854972673873E-2"/>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s-PE"/>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s-PE"/>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70926377451803E-2"/>
          <c:y val="8.9668135695512255E-2"/>
          <c:w val="0.89820337535808881"/>
          <c:h val="0.67514831582503343"/>
        </c:manualLayout>
      </c:layout>
      <c:barChart>
        <c:barDir val="col"/>
        <c:grouping val="clustered"/>
        <c:varyColors val="0"/>
        <c:ser>
          <c:idx val="0"/>
          <c:order val="0"/>
          <c:tx>
            <c:v>Meta</c:v>
          </c:tx>
          <c:spPr>
            <a:solidFill>
              <a:srgbClr val="0066CC"/>
            </a:solidFill>
            <a:ln w="25400">
              <a:noFill/>
            </a:ln>
          </c:spPr>
          <c:invertIfNegative val="0"/>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datos'!$H$122:$S$122</c:f>
              <c:numCache>
                <c:formatCode>#,##0</c:formatCode>
                <c:ptCount val="12"/>
                <c:pt idx="1">
                  <c:v>57165</c:v>
                </c:pt>
                <c:pt idx="5">
                  <c:v>59452</c:v>
                </c:pt>
              </c:numCache>
            </c:numRef>
          </c:val>
          <c:extLst>
            <c:ext xmlns:c16="http://schemas.microsoft.com/office/drawing/2014/chart" uri="{C3380CC4-5D6E-409C-BE32-E72D297353CC}">
              <c16:uniqueId val="{00000000-41F4-4E13-AC82-3072D26D8CAA}"/>
            </c:ext>
          </c:extLst>
        </c:ser>
        <c:ser>
          <c:idx val="1"/>
          <c:order val="1"/>
          <c:tx>
            <c:v>Logro</c:v>
          </c:tx>
          <c:spPr>
            <a:solidFill>
              <a:srgbClr val="00CCFF"/>
            </a:solidFill>
          </c:spPr>
          <c:invertIfNegative val="0"/>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datos'!$H$123:$S$123</c:f>
              <c:numCache>
                <c:formatCode>#,##0</c:formatCode>
                <c:ptCount val="12"/>
                <c:pt idx="1">
                  <c:v>66292</c:v>
                </c:pt>
                <c:pt idx="3">
                  <c:v>68597</c:v>
                </c:pt>
                <c:pt idx="4">
                  <c:v>69299</c:v>
                </c:pt>
              </c:numCache>
            </c:numRef>
          </c:val>
          <c:extLst>
            <c:ext xmlns:c16="http://schemas.microsoft.com/office/drawing/2014/chart" uri="{C3380CC4-5D6E-409C-BE32-E72D297353CC}">
              <c16:uniqueId val="{00000001-41F4-4E13-AC82-3072D26D8CAA}"/>
            </c:ext>
          </c:extLst>
        </c:ser>
        <c:dLbls>
          <c:showLegendKey val="0"/>
          <c:showVal val="0"/>
          <c:showCatName val="0"/>
          <c:showSerName val="0"/>
          <c:showPercent val="0"/>
          <c:showBubbleSize val="0"/>
        </c:dLbls>
        <c:gapWidth val="150"/>
        <c:axId val="452341864"/>
        <c:axId val="1"/>
      </c:barChart>
      <c:catAx>
        <c:axId val="452341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P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PE"/>
          </a:p>
        </c:txPr>
        <c:crossAx val="452341864"/>
        <c:crosses val="autoZero"/>
        <c:crossBetween val="between"/>
      </c:valAx>
      <c:spPr>
        <a:noFill/>
        <a:ln w="25400">
          <a:noFill/>
        </a:ln>
      </c:spPr>
    </c:plotArea>
    <c:legend>
      <c:legendPos val="r"/>
      <c:layout>
        <c:manualLayout>
          <c:xMode val="edge"/>
          <c:yMode val="edge"/>
          <c:x val="0.31694079112045598"/>
          <c:y val="0.87434532023703226"/>
          <c:w val="0.3306019581339798"/>
          <c:h val="8.3769786508645194E-2"/>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s-P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s-PE"/>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559E-2"/>
          <c:w val="0.83314004319329582"/>
          <c:h val="0.65320736566206339"/>
        </c:manualLayout>
      </c:layout>
      <c:barChart>
        <c:barDir val="col"/>
        <c:grouping val="clustered"/>
        <c:varyColors val="0"/>
        <c:ser>
          <c:idx val="0"/>
          <c:order val="0"/>
          <c:tx>
            <c:v>Meta</c:v>
          </c:tx>
          <c:spPr>
            <a:solidFill>
              <a:srgbClr val="0066CC"/>
            </a:solidFill>
            <a:ln w="25400">
              <a:noFill/>
            </a:ln>
          </c:spPr>
          <c:invertIfNegative val="0"/>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datos'!$H$118:$S$118</c:f>
              <c:numCache>
                <c:formatCode>#,##0</c:formatCode>
                <c:ptCount val="12"/>
                <c:pt idx="1">
                  <c:v>65453</c:v>
                </c:pt>
                <c:pt idx="5">
                  <c:v>78544</c:v>
                </c:pt>
              </c:numCache>
            </c:numRef>
          </c:val>
          <c:extLst>
            <c:ext xmlns:c16="http://schemas.microsoft.com/office/drawing/2014/chart" uri="{C3380CC4-5D6E-409C-BE32-E72D297353CC}">
              <c16:uniqueId val="{00000000-4708-460A-B612-139CC02399C4}"/>
            </c:ext>
          </c:extLst>
        </c:ser>
        <c:ser>
          <c:idx val="1"/>
          <c:order val="1"/>
          <c:tx>
            <c:v>Logro</c:v>
          </c:tx>
          <c:spPr>
            <a:solidFill>
              <a:srgbClr val="00CCFF"/>
            </a:solidFill>
            <a:ln w="12700">
              <a:solidFill>
                <a:srgbClr val="000000"/>
              </a:solidFill>
              <a:prstDash val="solid"/>
            </a:ln>
          </c:spPr>
          <c:invertIfNegative val="0"/>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datos'!$H$119:$S$119</c:f>
              <c:numCache>
                <c:formatCode>#,##0</c:formatCode>
                <c:ptCount val="12"/>
                <c:pt idx="1">
                  <c:v>16821</c:v>
                </c:pt>
                <c:pt idx="3">
                  <c:v>9261</c:v>
                </c:pt>
                <c:pt idx="4">
                  <c:v>2385</c:v>
                </c:pt>
              </c:numCache>
            </c:numRef>
          </c:val>
          <c:extLst>
            <c:ext xmlns:c16="http://schemas.microsoft.com/office/drawing/2014/chart" uri="{C3380CC4-5D6E-409C-BE32-E72D297353CC}">
              <c16:uniqueId val="{00000001-4708-460A-B612-139CC02399C4}"/>
            </c:ext>
          </c:extLst>
        </c:ser>
        <c:dLbls>
          <c:showLegendKey val="0"/>
          <c:showVal val="0"/>
          <c:showCatName val="0"/>
          <c:showSerName val="0"/>
          <c:showPercent val="0"/>
          <c:showBubbleSize val="0"/>
        </c:dLbls>
        <c:gapWidth val="150"/>
        <c:axId val="452342520"/>
        <c:axId val="1"/>
      </c:barChart>
      <c:catAx>
        <c:axId val="452342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P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PE"/>
          </a:p>
        </c:txPr>
        <c:crossAx val="452342520"/>
        <c:crosses val="autoZero"/>
        <c:crossBetween val="between"/>
      </c:valAx>
      <c:spPr>
        <a:noFill/>
        <a:ln w="25400">
          <a:noFill/>
        </a:ln>
      </c:spPr>
    </c:plotArea>
    <c:legend>
      <c:legendPos val="r"/>
      <c:layout>
        <c:manualLayout>
          <c:xMode val="edge"/>
          <c:yMode val="edge"/>
          <c:x val="0.20365535248041775"/>
          <c:y val="0.91191922438266648"/>
          <c:w val="0.53263707571801566"/>
          <c:h val="7.2538968343242805E-2"/>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s-P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s-PE"/>
    </a:p>
  </c:txPr>
  <c:printSettings>
    <c:headerFooter alignWithMargins="0"/>
    <c:pageMargins b="1" l="0.75000000000000078" r="0.75000000000000078"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s-PE"/>
              <a:t>Fecha </a:t>
            </a:r>
          </a:p>
        </c:rich>
      </c:tx>
      <c:overlay val="0"/>
      <c:spPr>
        <a:noFill/>
        <a:ln w="25400">
          <a:noFill/>
        </a:ln>
      </c:spPr>
    </c:title>
    <c:autoTitleDeleted val="0"/>
    <c:plotArea>
      <c:layout/>
      <c:areaChart>
        <c:grouping val="standard"/>
        <c:varyColors val="0"/>
        <c:ser>
          <c:idx val="0"/>
          <c:order val="0"/>
          <c:tx>
            <c:v>Periodo de referencia anterior</c:v>
          </c:tx>
          <c:spPr>
            <a:solidFill>
              <a:srgbClr val="339966"/>
            </a:solidFill>
            <a:ln w="12700">
              <a:solidFill>
                <a:srgbClr val="000000"/>
              </a:solidFill>
              <a:prstDash val="solid"/>
            </a:ln>
          </c:spPr>
          <c:cat>
            <c:strRef>
              <c:f>'Introducción de datos'!$C$30:$M$30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'Introducción de datos'!$C$33:$M$33</c:f>
              <c:numCache>
                <c:formatCode>#,##0</c:formatCode>
                <c:ptCount val="11"/>
                <c:pt idx="0">
                  <c:v>359935</c:v>
                </c:pt>
                <c:pt idx="1">
                  <c:v>1660995</c:v>
                </c:pt>
                <c:pt idx="2">
                  <c:v>2775063</c:v>
                </c:pt>
                <c:pt idx="3">
                  <c:v>3492989</c:v>
                </c:pt>
                <c:pt idx="4">
                  <c:v>3963654</c:v>
                </c:pt>
                <c:pt idx="5">
                  <c:v>4964601</c:v>
                </c:pt>
                <c:pt idx="6">
                  <c:v>5331224</c:v>
                </c:pt>
                <c:pt idx="7">
                  <c:v>5649211</c:v>
                </c:pt>
                <c:pt idx="8">
                  <c:v>5770382</c:v>
                </c:pt>
                <c:pt idx="9">
                  <c:v>5895874</c:v>
                </c:pt>
                <c:pt idx="10">
                  <c:v>6029251</c:v>
                </c:pt>
              </c:numCache>
            </c:numRef>
          </c:val>
          <c:extLst>
            <c:ext xmlns:c16="http://schemas.microsoft.com/office/drawing/2014/chart" uri="{C3380CC4-5D6E-409C-BE32-E72D297353CC}">
              <c16:uniqueId val="{00000000-B01A-4309-AB0F-24D2B90D6D56}"/>
            </c:ext>
          </c:extLst>
        </c:ser>
        <c:ser>
          <c:idx val="1"/>
          <c:order val="1"/>
          <c:tx>
            <c:v>Decisión del MCP</c:v>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'Introducción de datos'!$C$30:$M$30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'Introducción de datos'!$C$34:$M$34</c:f>
              <c:numCache>
                <c:formatCode>#,##0</c:formatCode>
                <c:ptCount val="11"/>
                <c:pt idx="0">
                  <c:v>359934.94</c:v>
                </c:pt>
                <c:pt idx="1">
                  <c:v>1660995.31</c:v>
                </c:pt>
                <c:pt idx="2">
                  <c:v>2775063.64</c:v>
                </c:pt>
                <c:pt idx="3">
                  <c:v>3492989.3000000003</c:v>
                </c:pt>
                <c:pt idx="5">
                  <c:v>0</c:v>
                </c:pt>
                <c:pt idx="6">
                  <c:v>0</c:v>
                </c:pt>
                <c:pt idx="7">
                  <c:v>0</c:v>
                </c:pt>
                <c:pt idx="8">
                  <c:v>0</c:v>
                </c:pt>
                <c:pt idx="9">
                  <c:v>0</c:v>
                </c:pt>
                <c:pt idx="10">
                  <c:v>0</c:v>
                </c:pt>
              </c:numCache>
            </c:numRef>
          </c:val>
          <c:extLst>
            <c:ext xmlns:c16="http://schemas.microsoft.com/office/drawing/2014/chart" uri="{C3380CC4-5D6E-409C-BE32-E72D297353CC}">
              <c16:uniqueId val="{00000001-B01A-4309-AB0F-24D2B90D6D56}"/>
            </c:ext>
          </c:extLst>
        </c:ser>
        <c:dLbls>
          <c:showLegendKey val="0"/>
          <c:showVal val="0"/>
          <c:showCatName val="0"/>
          <c:showSerName val="0"/>
          <c:showPercent val="0"/>
          <c:showBubbleSize val="0"/>
        </c:dLbls>
        <c:dropLines>
          <c:spPr>
            <a:ln w="3175">
              <a:solidFill>
                <a:srgbClr val="000000"/>
              </a:solidFill>
              <a:prstDash val="solid"/>
            </a:ln>
          </c:spPr>
        </c:dropLines>
        <c:axId val="451098456"/>
        <c:axId val="1"/>
      </c:areaChart>
      <c:catAx>
        <c:axId val="451098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s-PE"/>
          </a:p>
        </c:txPr>
        <c:crossAx val="1"/>
        <c:crosses val="autoZero"/>
        <c:auto val="1"/>
        <c:lblAlgn val="ctr"/>
        <c:lblOffset val="100"/>
        <c:tickLblSkip val="8"/>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s-PE"/>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s-PE"/>
          </a:p>
        </c:txPr>
        <c:crossAx val="45109845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s-PE"/>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s-PE"/>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7176470588235294"/>
          <c:y val="2.1008446462313021E-2"/>
          <c:w val="0.62823536282984305"/>
          <c:h val="0.68487535467140448"/>
        </c:manualLayout>
      </c:layout>
      <c:barChart>
        <c:barDir val="col"/>
        <c:grouping val="stacked"/>
        <c:varyColors val="0"/>
        <c:ser>
          <c:idx val="0"/>
          <c:order val="0"/>
          <c:tx>
            <c:strRef>
              <c:f>Financiamiento!$M$16</c:f>
              <c:strCache>
                <c:ptCount val="1"/>
                <c:pt idx="0">
                  <c:v>Periodo Anterior</c:v>
                </c:pt>
              </c:strCache>
            </c:strRef>
          </c:tx>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'Introducción de datos'!$B$52:$B$55</c:f>
              <c:strCache>
                <c:ptCount val="4"/>
                <c:pt idx="0">
                  <c:v> Desembolsado por el Fondo Mundial </c:v>
                </c:pt>
                <c:pt idx="1">
                  <c:v> Gasto RP + desembolso a SRs </c:v>
                </c:pt>
                <c:pt idx="2">
                  <c:v> Desembolsado a los subreceptores </c:v>
                </c:pt>
                <c:pt idx="3">
                  <c:v> Gastos de los subreceptores </c:v>
                </c:pt>
              </c:strCache>
            </c:strRef>
          </c:cat>
          <c:val>
            <c:numRef>
              <c:f>'Introducción de datos'!$C$52:$C$55</c:f>
              <c:numCache>
                <c:formatCode>#,##0</c:formatCode>
                <c:ptCount val="4"/>
                <c:pt idx="0">
                  <c:v>0</c:v>
                </c:pt>
                <c:pt idx="1">
                  <c:v>0</c:v>
                </c:pt>
                <c:pt idx="2">
                  <c:v>0</c:v>
                </c:pt>
                <c:pt idx="3">
                  <c:v>0</c:v>
                </c:pt>
              </c:numCache>
            </c:numRef>
          </c:val>
          <c:extLst>
            <c:ext xmlns:c16="http://schemas.microsoft.com/office/drawing/2014/chart" uri="{C3380CC4-5D6E-409C-BE32-E72D297353CC}">
              <c16:uniqueId val="{00000000-B0F6-44D4-A50C-FE0F1D5AAD37}"/>
            </c:ext>
          </c:extLst>
        </c:ser>
        <c:ser>
          <c:idx val="1"/>
          <c:order val="1"/>
          <c:tx>
            <c:strRef>
              <c:f>Financiamiento!$M$15</c:f>
              <c:strCache>
                <c:ptCount val="1"/>
                <c:pt idx="0">
                  <c:v>Periodo Actual</c:v>
                </c:pt>
              </c:strCache>
            </c:strRef>
          </c:tx>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'Introducción de datos'!$B$52:$B$55</c:f>
              <c:strCache>
                <c:ptCount val="4"/>
                <c:pt idx="0">
                  <c:v> Desembolsado por el Fondo Mundial </c:v>
                </c:pt>
                <c:pt idx="1">
                  <c:v> Gasto RP + desembolso a SRs </c:v>
                </c:pt>
                <c:pt idx="2">
                  <c:v> Desembolsado a los subreceptores </c:v>
                </c:pt>
                <c:pt idx="3">
                  <c:v> Gastos de los subreceptores </c:v>
                </c:pt>
              </c:strCache>
            </c:strRef>
          </c:cat>
          <c:val>
            <c:numRef>
              <c:f>'Introducción de datos'!$D$52:$D$55</c:f>
              <c:numCache>
                <c:formatCode>#,##0</c:formatCode>
                <c:ptCount val="4"/>
                <c:pt idx="0">
                  <c:v>3492989.3000000003</c:v>
                </c:pt>
                <c:pt idx="1">
                  <c:v>2588509.9700000002</c:v>
                </c:pt>
              </c:numCache>
            </c:numRef>
          </c:val>
          <c:extLst>
            <c:ext xmlns:c16="http://schemas.microsoft.com/office/drawing/2014/chart" uri="{C3380CC4-5D6E-409C-BE32-E72D297353CC}">
              <c16:uniqueId val="{00000001-B0F6-44D4-A50C-FE0F1D5AAD37}"/>
            </c:ext>
          </c:extLst>
        </c:ser>
        <c:dLbls>
          <c:showLegendKey val="0"/>
          <c:showVal val="0"/>
          <c:showCatName val="0"/>
          <c:showSerName val="0"/>
          <c:showPercent val="0"/>
          <c:showBubbleSize val="0"/>
        </c:dLbls>
        <c:gapWidth val="150"/>
        <c:overlap val="100"/>
        <c:axId val="450832864"/>
        <c:axId val="1"/>
      </c:barChart>
      <c:catAx>
        <c:axId val="4508328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1"/>
        <c:crossesAt val="0"/>
        <c:auto val="1"/>
        <c:lblAlgn val="ctr"/>
        <c:lblOffset val="100"/>
        <c:noMultiLvlLbl val="0"/>
      </c:catAx>
      <c:valAx>
        <c:axId val="1"/>
        <c:scaling>
          <c:orientation val="minMax"/>
        </c:scaling>
        <c:delete val="0"/>
        <c:axPos val="l"/>
        <c:majorGridlines/>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s-PE"/>
          </a:p>
        </c:txPr>
        <c:crossAx val="450832864"/>
        <c:crosses val="autoZero"/>
        <c:crossBetween val="between"/>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Calibri"/>
                <a:ea typeface="Calibri"/>
                <a:cs typeface="Calibri"/>
              </a:defRPr>
            </a:pPr>
            <a:endParaRPr lang="es-PE"/>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92638036809816"/>
          <c:y val="8.9622641509433956E-2"/>
          <c:w val="0.75869120654396727"/>
          <c:h val="0.59905660377358494"/>
        </c:manualLayout>
      </c:layout>
      <c:barChart>
        <c:barDir val="col"/>
        <c:grouping val="clustered"/>
        <c:varyColors val="0"/>
        <c:ser>
          <c:idx val="0"/>
          <c:order val="0"/>
          <c:tx>
            <c:strRef>
              <c:f>Financiamiento!$C$32</c:f>
              <c:strCache>
                <c:ptCount val="1"/>
                <c:pt idx="0">
                  <c:v>Presupuesto acumulado</c:v>
                </c:pt>
              </c:strCache>
            </c:strRef>
          </c:tx>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'Introducción de datos'!$B$39:$B$44</c:f>
              <c:strCache>
                <c:ptCount val="6"/>
                <c:pt idx="0">
                  <c:v> MÓDULO 1: Programas de prevención integral para hombres que tienen relaciones sexuales con otros hombres (HSH). </c:v>
                </c:pt>
                <c:pt idx="1">
                  <c:v> MÓDULO 2: Programas de prevención integral en mujeres transgénero (MT) </c:v>
                </c:pt>
                <c:pt idx="2">
                  <c:v> MÓDULO 3: Tratamiento, atención y apoyo. </c:v>
                </c:pt>
                <c:pt idx="3">
                  <c:v> MÓDULO 4: Coinfección TB/VIH </c:v>
                </c:pt>
                <c:pt idx="4">
                  <c:v> MÓDULO 5: SSRS:  Respuestas y sistemas comunitarios </c:v>
                </c:pt>
                <c:pt idx="5">
                  <c:v> MÓDULO 6: SSRS: Sistemas de información en salud y monitoreo y evaluación </c:v>
                </c:pt>
              </c:strCache>
            </c:strRef>
          </c:cat>
          <c:val>
            <c:numRef>
              <c:f>'Introducción de datos'!$C$39:$C$44</c:f>
              <c:numCache>
                <c:formatCode>#,##0</c:formatCode>
                <c:ptCount val="6"/>
                <c:pt idx="0">
                  <c:v>216917.5333859337</c:v>
                </c:pt>
                <c:pt idx="1">
                  <c:v>214798.30338593366</c:v>
                </c:pt>
                <c:pt idx="2">
                  <c:v>1261757</c:v>
                </c:pt>
                <c:pt idx="3">
                  <c:v>611061.77380684018</c:v>
                </c:pt>
                <c:pt idx="4">
                  <c:v>412493</c:v>
                </c:pt>
                <c:pt idx="5">
                  <c:v>756847.98</c:v>
                </c:pt>
              </c:numCache>
            </c:numRef>
          </c:val>
          <c:extLst>
            <c:ext xmlns:c16="http://schemas.microsoft.com/office/drawing/2014/chart" uri="{C3380CC4-5D6E-409C-BE32-E72D297353CC}">
              <c16:uniqueId val="{00000000-338B-4817-8131-721E67FF93B7}"/>
            </c:ext>
          </c:extLst>
        </c:ser>
        <c:ser>
          <c:idx val="1"/>
          <c:order val="1"/>
          <c:tx>
            <c:strRef>
              <c:f>Financiamiento!$C$33</c:f>
              <c:strCache>
                <c:ptCount val="1"/>
                <c:pt idx="0">
                  <c:v>Gastos acumulados</c:v>
                </c:pt>
              </c:strCache>
            </c:strRef>
          </c:tx>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'Introducción de datos'!$B$39:$B$44</c:f>
              <c:strCache>
                <c:ptCount val="6"/>
                <c:pt idx="0">
                  <c:v> MÓDULO 1: Programas de prevención integral para hombres que tienen relaciones sexuales con otros hombres (HSH). </c:v>
                </c:pt>
                <c:pt idx="1">
                  <c:v> MÓDULO 2: Programas de prevención integral en mujeres transgénero (MT) </c:v>
                </c:pt>
                <c:pt idx="2">
                  <c:v> MÓDULO 3: Tratamiento, atención y apoyo. </c:v>
                </c:pt>
                <c:pt idx="3">
                  <c:v> MÓDULO 4: Coinfección TB/VIH </c:v>
                </c:pt>
                <c:pt idx="4">
                  <c:v> MÓDULO 5: SSRS:  Respuestas y sistemas comunitarios </c:v>
                </c:pt>
                <c:pt idx="5">
                  <c:v> MÓDULO 6: SSRS: Sistemas de información en salud y monitoreo y evaluación </c:v>
                </c:pt>
              </c:strCache>
            </c:strRef>
          </c:cat>
          <c:val>
            <c:numRef>
              <c:f>'Introducción de datos'!$D$39:$D$44</c:f>
              <c:numCache>
                <c:formatCode>#,##0</c:formatCode>
                <c:ptCount val="6"/>
                <c:pt idx="0">
                  <c:v>55689.079999999994</c:v>
                </c:pt>
                <c:pt idx="1">
                  <c:v>53877.15</c:v>
                </c:pt>
                <c:pt idx="2">
                  <c:v>1507201.0100000002</c:v>
                </c:pt>
                <c:pt idx="3">
                  <c:v>122054.09</c:v>
                </c:pt>
                <c:pt idx="4">
                  <c:v>849688.6399999999</c:v>
                </c:pt>
                <c:pt idx="5">
                  <c:v>139590.69</c:v>
                </c:pt>
              </c:numCache>
            </c:numRef>
          </c:val>
          <c:extLst>
            <c:ext xmlns:c16="http://schemas.microsoft.com/office/drawing/2014/chart" uri="{C3380CC4-5D6E-409C-BE32-E72D297353CC}">
              <c16:uniqueId val="{00000001-338B-4817-8131-721E67FF93B7}"/>
            </c:ext>
          </c:extLst>
        </c:ser>
        <c:dLbls>
          <c:showLegendKey val="0"/>
          <c:showVal val="0"/>
          <c:showCatName val="0"/>
          <c:showSerName val="0"/>
          <c:showPercent val="0"/>
          <c:showBubbleSize val="0"/>
        </c:dLbls>
        <c:gapWidth val="150"/>
        <c:axId val="450829256"/>
        <c:axId val="1"/>
      </c:barChart>
      <c:catAx>
        <c:axId val="450829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s-PE"/>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s-PE"/>
          </a:p>
        </c:txPr>
        <c:crossAx val="450829256"/>
        <c:crosses val="autoZero"/>
        <c:crossBetween val="between"/>
      </c:valAx>
      <c:dTable>
        <c:showHorzBorder val="1"/>
        <c:showVertBorder val="1"/>
        <c:showOutline val="1"/>
        <c:showKeys val="1"/>
        <c:spPr>
          <a:ln w="3175">
            <a:solidFill>
              <a:srgbClr val="000000"/>
            </a:solidFill>
            <a:prstDash val="solid"/>
          </a:ln>
        </c:spPr>
      </c:dTable>
      <c:spPr>
        <a:noFill/>
        <a:ln w="12700">
          <a:solidFill>
            <a:srgbClr val="000000"/>
          </a:solidFill>
          <a:prstDash val="solid"/>
        </a:ln>
      </c:spPr>
    </c:plotArea>
    <c:plotVisOnly val="1"/>
    <c:dispBlanksAs val="gap"/>
    <c:showDLblsOverMax val="0"/>
  </c:chart>
  <c:spPr>
    <a:noFill/>
    <a:ln w="9525">
      <a:noFill/>
    </a:ln>
  </c:spPr>
  <c:txPr>
    <a:bodyPr/>
    <a:lstStyle/>
    <a:p>
      <a:pPr>
        <a:defRPr sz="500" b="0" i="0" u="none" strike="noStrike" baseline="0">
          <a:solidFill>
            <a:srgbClr val="000000"/>
          </a:solidFill>
          <a:latin typeface="Arial"/>
          <a:ea typeface="Arial"/>
          <a:cs typeface="Arial"/>
        </a:defRPr>
      </a:pPr>
      <a:endParaRPr lang="es-PE"/>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71851661086791E-2"/>
          <c:y val="0.19565355846324772"/>
          <c:w val="0.86498068503734227"/>
          <c:h val="0.42029282929142103"/>
        </c:manualLayout>
      </c:layout>
      <c:barChart>
        <c:barDir val="bar"/>
        <c:grouping val="percentStacked"/>
        <c:varyColors val="0"/>
        <c:ser>
          <c:idx val="2"/>
          <c:order val="0"/>
          <c:tx>
            <c:strRef>
              <c:f>'Introducción de datos'!$D$78</c:f>
              <c:strCache>
                <c:ptCount val="1"/>
                <c:pt idx="0">
                  <c:v> Cubiertos </c:v>
                </c:pt>
              </c:strCache>
            </c:strRef>
          </c:tx>
          <c:spPr>
            <a:solidFill>
              <a:srgbClr val="33CC33"/>
            </a:solidFill>
            <a:effectLst>
              <a:outerShdw blurRad="50800" dist="38100" dir="2700000" algn="tl" rotWithShape="0">
                <a:prstClr val="black">
                  <a:alpha val="40000"/>
                </a:prstClr>
              </a:outerShdw>
            </a:effectLst>
          </c:spPr>
          <c:invertIfNegative val="0"/>
          <c:dPt>
            <c:idx val="0"/>
            <c:invertIfNegative val="0"/>
            <c:bubble3D val="0"/>
            <c:spPr>
              <a:solidFill>
                <a:srgbClr val="99CC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0-8E02-490C-806D-76DFCB3672EA}"/>
              </c:ext>
            </c:extLst>
          </c:dPt>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datos'!$D$79</c:f>
              <c:numCache>
                <c:formatCode>General</c:formatCode>
                <c:ptCount val="1"/>
                <c:pt idx="0">
                  <c:v>9</c:v>
                </c:pt>
              </c:numCache>
            </c:numRef>
          </c:val>
          <c:extLst>
            <c:ext xmlns:c16="http://schemas.microsoft.com/office/drawing/2014/chart" uri="{C3380CC4-5D6E-409C-BE32-E72D297353CC}">
              <c16:uniqueId val="{00000001-8E02-490C-806D-76DFCB3672EA}"/>
            </c:ext>
          </c:extLst>
        </c:ser>
        <c:ser>
          <c:idx val="0"/>
          <c:order val="1"/>
          <c:tx>
            <c:strRef>
              <c:f>'Introducción de datos'!$E$78</c:f>
              <c:strCache>
                <c:ptCount val="1"/>
                <c:pt idx="0">
                  <c:v> Vacantes </c:v>
                </c:pt>
              </c:strCache>
            </c:strRef>
          </c:tx>
          <c:spPr>
            <a:solidFill>
              <a:srgbClr val="FF5050"/>
            </a:solidFill>
          </c:spPr>
          <c:invertIfNegative val="0"/>
          <c:dPt>
            <c:idx val="0"/>
            <c:invertIfNegative val="0"/>
            <c:bubble3D val="0"/>
            <c:spPr>
              <a:solidFill>
                <a:srgbClr val="FF505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8E02-490C-806D-76DFCB3672EA}"/>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datos'!$E$79</c:f>
              <c:numCache>
                <c:formatCode>General</c:formatCode>
                <c:ptCount val="1"/>
                <c:pt idx="0">
                  <c:v>0</c:v>
                </c:pt>
              </c:numCache>
            </c:numRef>
          </c:val>
          <c:extLst>
            <c:ext xmlns:c16="http://schemas.microsoft.com/office/drawing/2014/chart" uri="{C3380CC4-5D6E-409C-BE32-E72D297353CC}">
              <c16:uniqueId val="{00000003-8E02-490C-806D-76DFCB3672EA}"/>
            </c:ext>
          </c:extLst>
        </c:ser>
        <c:dLbls>
          <c:showLegendKey val="0"/>
          <c:showVal val="0"/>
          <c:showCatName val="0"/>
          <c:showSerName val="0"/>
          <c:showPercent val="0"/>
          <c:showBubbleSize val="0"/>
        </c:dLbls>
        <c:gapWidth val="79"/>
        <c:overlap val="100"/>
        <c:axId val="450832208"/>
        <c:axId val="1"/>
      </c:barChart>
      <c:catAx>
        <c:axId val="450832208"/>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0"/>
        <c:axPos val="t"/>
        <c:majorGridlines/>
        <c:numFmt formatCode="0%" sourceLinked="1"/>
        <c:majorTickMark val="out"/>
        <c:minorTickMark val="none"/>
        <c:tickLblPos val="low"/>
        <c:txPr>
          <a:bodyPr rot="0" vert="horz"/>
          <a:lstStyle/>
          <a:p>
            <a:pPr>
              <a:defRPr/>
            </a:pPr>
            <a:endParaRPr lang="es-PE"/>
          </a:p>
        </c:txPr>
        <c:crossAx val="450832208"/>
        <c:crosses val="max"/>
        <c:crossBetween val="between"/>
      </c:valAx>
    </c:plotArea>
    <c:legend>
      <c:legendPos val="r"/>
      <c:layout>
        <c:manualLayout>
          <c:xMode val="edge"/>
          <c:yMode val="edge"/>
          <c:x val="0.32636014443914763"/>
          <c:y val="0.77142857142857146"/>
          <c:w val="0.42677866728036873"/>
          <c:h val="0.15714285714285714"/>
        </c:manualLayout>
      </c:layout>
      <c:overlay val="0"/>
      <c:spPr>
        <a:noFill/>
        <a:ln>
          <a:noFill/>
        </a:ln>
        <a:effectLst>
          <a:outerShdw blurRad="50800" dist="50800" dir="5400000" algn="ctr" rotWithShape="0">
            <a:schemeClr val="accent4">
              <a:lumMod val="75000"/>
            </a:schemeClr>
          </a:outerShdw>
        </a:effectLst>
      </c:spPr>
    </c:legend>
    <c:plotVisOnly val="1"/>
    <c:dispBlanksAs val="gap"/>
    <c:showDLblsOverMax val="0"/>
  </c:chart>
  <c:spPr>
    <a:noFill/>
    <a:ln w="9525">
      <a:noFill/>
    </a:ln>
  </c:sp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822E-2"/>
          <c:y val="0.13661275087917776"/>
          <c:w val="0.89702517162471396"/>
          <c:h val="0.60656061390354932"/>
        </c:manualLayout>
      </c:layout>
      <c:barChart>
        <c:barDir val="col"/>
        <c:grouping val="clustered"/>
        <c:varyColors val="0"/>
        <c:ser>
          <c:idx val="0"/>
          <c:order val="0"/>
          <c:tx>
            <c:strRef>
              <c:f>'Introducción de datos'!$C$83</c:f>
              <c:strCache>
                <c:ptCount val="1"/>
                <c:pt idx="0">
                  <c:v> Identificados </c:v>
                </c:pt>
              </c:strCache>
            </c:strRef>
          </c:tx>
          <c:spPr>
            <a:solidFill>
              <a:srgbClr val="FFFFFF"/>
            </a:solidFill>
            <a:ln w="12700">
              <a:solidFill>
                <a:srgbClr val="000000"/>
              </a:solidFill>
              <a:prstDash val="solid"/>
            </a:ln>
            <a:effectLst>
              <a:outerShdw blurRad="50800" dist="38100" dir="2700000" algn="tl" rotWithShape="0">
                <a:prstClr val="black">
                  <a:alpha val="40000"/>
                </a:prstClr>
              </a:outerShdw>
            </a:effectLst>
          </c:spPr>
          <c:invertIfNegative val="0"/>
          <c:dLbls>
            <c:dLbl>
              <c:idx val="0"/>
              <c:spPr>
                <a:noFill/>
                <a:ln w="25400">
                  <a:noFill/>
                </a:ln>
              </c:spPr>
              <c:txPr>
                <a:bodyPr/>
                <a:lstStyle/>
                <a:p>
                  <a:pPr>
                    <a:defRPr sz="900" b="1" i="0" u="none" strike="noStrike" baseline="0">
                      <a:solidFill>
                        <a:srgbClr val="000000"/>
                      </a:solidFill>
                      <a:latin typeface="Arial"/>
                      <a:ea typeface="Arial"/>
                      <a:cs typeface="Arial"/>
                    </a:defRPr>
                  </a:pPr>
                  <a:endParaRPr lang="es-PE"/>
                </a:p>
              </c:txPr>
              <c:showLegendKey val="0"/>
              <c:showVal val="1"/>
              <c:showCatName val="0"/>
              <c:showSerName val="0"/>
              <c:showPercent val="0"/>
              <c:showBubbleSize val="0"/>
              <c:extLst>
                <c:ext xmlns:c16="http://schemas.microsoft.com/office/drawing/2014/chart" uri="{C3380CC4-5D6E-409C-BE32-E72D297353CC}">
                  <c16:uniqueId val="{00000000-CCD5-4B67-9D0A-8AC8159470CE}"/>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datos'!$C$84</c:f>
              <c:numCache>
                <c:formatCode>General</c:formatCode>
                <c:ptCount val="1"/>
                <c:pt idx="0">
                  <c:v>0</c:v>
                </c:pt>
              </c:numCache>
            </c:numRef>
          </c:val>
          <c:extLst>
            <c:ext xmlns:c16="http://schemas.microsoft.com/office/drawing/2014/chart" uri="{C3380CC4-5D6E-409C-BE32-E72D297353CC}">
              <c16:uniqueId val="{00000001-CCD5-4B67-9D0A-8AC8159470CE}"/>
            </c:ext>
          </c:extLst>
        </c:ser>
        <c:ser>
          <c:idx val="1"/>
          <c:order val="1"/>
          <c:tx>
            <c:strRef>
              <c:f>'Introducción de datos'!$D$83</c:f>
              <c:strCache>
                <c:ptCount val="1"/>
                <c:pt idx="0">
                  <c:v> Evaluados </c:v>
                </c:pt>
              </c:strCache>
            </c:strRef>
          </c:tx>
          <c:spPr>
            <a:solidFill>
              <a:schemeClr val="bg1">
                <a:lumMod val="95000"/>
              </a:schemeClr>
            </a:solidFill>
            <a:ln w="12700">
              <a:solidFill>
                <a:srgbClr val="000000"/>
              </a:solidFill>
              <a:prstDash val="solid"/>
            </a:ln>
            <a:effectLst>
              <a:outerShdw blurRad="50800" dist="38100" dir="2700000" algn="tl" rotWithShape="0">
                <a:prstClr val="black">
                  <a:alpha val="40000"/>
                </a:prstClr>
              </a:outerShdw>
            </a:effectLst>
          </c:spPr>
          <c:invertIfNegative val="0"/>
          <c:dLbls>
            <c:dLbl>
              <c:idx val="0"/>
              <c:spPr>
                <a:noFill/>
                <a:ln w="25400">
                  <a:noFill/>
                </a:ln>
              </c:spPr>
              <c:txPr>
                <a:bodyPr/>
                <a:lstStyle/>
                <a:p>
                  <a:pPr>
                    <a:defRPr sz="900" b="1" i="0" u="none" strike="noStrike" baseline="0">
                      <a:solidFill>
                        <a:srgbClr val="000000"/>
                      </a:solidFill>
                      <a:latin typeface="Arial"/>
                      <a:ea typeface="Arial"/>
                      <a:cs typeface="Arial"/>
                    </a:defRPr>
                  </a:pPr>
                  <a:endParaRPr lang="es-PE"/>
                </a:p>
              </c:txPr>
              <c:showLegendKey val="0"/>
              <c:showVal val="1"/>
              <c:showCatName val="0"/>
              <c:showSerName val="0"/>
              <c:showPercent val="0"/>
              <c:showBubbleSize val="0"/>
              <c:extLst>
                <c:ext xmlns:c16="http://schemas.microsoft.com/office/drawing/2014/chart" uri="{C3380CC4-5D6E-409C-BE32-E72D297353CC}">
                  <c16:uniqueId val="{00000002-CCD5-4B67-9D0A-8AC8159470CE}"/>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datos'!$D$84</c:f>
              <c:numCache>
                <c:formatCode>General</c:formatCode>
                <c:ptCount val="1"/>
                <c:pt idx="0">
                  <c:v>0</c:v>
                </c:pt>
              </c:numCache>
            </c:numRef>
          </c:val>
          <c:extLst>
            <c:ext xmlns:c16="http://schemas.microsoft.com/office/drawing/2014/chart" uri="{C3380CC4-5D6E-409C-BE32-E72D297353CC}">
              <c16:uniqueId val="{00000003-CCD5-4B67-9D0A-8AC8159470CE}"/>
            </c:ext>
          </c:extLst>
        </c:ser>
        <c:ser>
          <c:idx val="2"/>
          <c:order val="2"/>
          <c:tx>
            <c:strRef>
              <c:f>'Introducción de datos'!$E$83</c:f>
              <c:strCache>
                <c:ptCount val="1"/>
                <c:pt idx="0">
                  <c:v> Aprobados </c:v>
                </c:pt>
              </c:strCache>
            </c:strRef>
          </c:tx>
          <c:spPr>
            <a:solidFill>
              <a:schemeClr val="bg1">
                <a:lumMod val="85000"/>
              </a:schemeClr>
            </a:solidFill>
            <a:ln w="12700">
              <a:solidFill>
                <a:srgbClr val="000000"/>
              </a:solidFill>
              <a:prstDash val="solid"/>
            </a:ln>
            <a:effectLst>
              <a:outerShdw blurRad="50800" dist="38100" dir="2700000" algn="tl" rotWithShape="0">
                <a:prstClr val="black">
                  <a:alpha val="40000"/>
                </a:prstClr>
              </a:outerShdw>
            </a:effectLst>
          </c:spPr>
          <c:invertIfNegative val="0"/>
          <c:dLbls>
            <c:dLbl>
              <c:idx val="0"/>
              <c:spPr>
                <a:noFill/>
                <a:ln w="25400">
                  <a:noFill/>
                </a:ln>
              </c:spPr>
              <c:txPr>
                <a:bodyPr/>
                <a:lstStyle/>
                <a:p>
                  <a:pPr>
                    <a:defRPr sz="900" b="1" i="0" u="none" strike="noStrike" baseline="0">
                      <a:solidFill>
                        <a:srgbClr val="000000"/>
                      </a:solidFill>
                      <a:latin typeface="Arial"/>
                      <a:ea typeface="Arial"/>
                      <a:cs typeface="Arial"/>
                    </a:defRPr>
                  </a:pPr>
                  <a:endParaRPr lang="es-PE"/>
                </a:p>
              </c:txPr>
              <c:showLegendKey val="0"/>
              <c:showVal val="1"/>
              <c:showCatName val="0"/>
              <c:showSerName val="0"/>
              <c:showPercent val="0"/>
              <c:showBubbleSize val="0"/>
              <c:extLst>
                <c:ext xmlns:c16="http://schemas.microsoft.com/office/drawing/2014/chart" uri="{C3380CC4-5D6E-409C-BE32-E72D297353CC}">
                  <c16:uniqueId val="{00000004-CCD5-4B67-9D0A-8AC8159470CE}"/>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datos'!$E$84</c:f>
              <c:numCache>
                <c:formatCode>General</c:formatCode>
                <c:ptCount val="1"/>
                <c:pt idx="0">
                  <c:v>0</c:v>
                </c:pt>
              </c:numCache>
            </c:numRef>
          </c:val>
          <c:extLst>
            <c:ext xmlns:c16="http://schemas.microsoft.com/office/drawing/2014/chart" uri="{C3380CC4-5D6E-409C-BE32-E72D297353CC}">
              <c16:uniqueId val="{00000005-CCD5-4B67-9D0A-8AC8159470CE}"/>
            </c:ext>
          </c:extLst>
        </c:ser>
        <c:ser>
          <c:idx val="3"/>
          <c:order val="3"/>
          <c:tx>
            <c:strRef>
              <c:f>'Introducción de datos'!$F$83</c:f>
              <c:strCache>
                <c:ptCount val="1"/>
                <c:pt idx="0">
                  <c:v> Firmados </c:v>
                </c:pt>
              </c:strCache>
            </c:strRef>
          </c:tx>
          <c:spPr>
            <a:solidFill>
              <a:schemeClr val="bg1">
                <a:lumMod val="75000"/>
              </a:schemeClr>
            </a:solidFill>
            <a:ln w="12700">
              <a:solidFill>
                <a:srgbClr val="000000"/>
              </a:solidFill>
              <a:prstDash val="solid"/>
            </a:ln>
            <a:effectLst>
              <a:outerShdw blurRad="50800" dist="38100" dir="2700000" algn="tl" rotWithShape="0">
                <a:prstClr val="black">
                  <a:alpha val="40000"/>
                </a:prstClr>
              </a:outerShdw>
            </a:effectLst>
          </c:spPr>
          <c:invertIfNegative val="0"/>
          <c:dLbls>
            <c:dLbl>
              <c:idx val="0"/>
              <c:spPr>
                <a:noFill/>
                <a:ln w="25400">
                  <a:noFill/>
                </a:ln>
              </c:spPr>
              <c:txPr>
                <a:bodyPr/>
                <a:lstStyle/>
                <a:p>
                  <a:pPr>
                    <a:defRPr sz="900" b="1" i="0" u="none" strike="noStrike" baseline="0">
                      <a:solidFill>
                        <a:srgbClr val="000000"/>
                      </a:solidFill>
                      <a:latin typeface="Arial"/>
                      <a:ea typeface="Arial"/>
                      <a:cs typeface="Arial"/>
                    </a:defRPr>
                  </a:pPr>
                  <a:endParaRPr lang="es-PE"/>
                </a:p>
              </c:txPr>
              <c:showLegendKey val="0"/>
              <c:showVal val="1"/>
              <c:showCatName val="0"/>
              <c:showSerName val="0"/>
              <c:showPercent val="0"/>
              <c:showBubbleSize val="0"/>
              <c:extLst>
                <c:ext xmlns:c16="http://schemas.microsoft.com/office/drawing/2014/chart" uri="{C3380CC4-5D6E-409C-BE32-E72D297353CC}">
                  <c16:uniqueId val="{00000006-CCD5-4B67-9D0A-8AC8159470CE}"/>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datos'!$F$84</c:f>
              <c:numCache>
                <c:formatCode>General</c:formatCode>
                <c:ptCount val="1"/>
                <c:pt idx="0">
                  <c:v>0</c:v>
                </c:pt>
              </c:numCache>
            </c:numRef>
          </c:val>
          <c:extLst>
            <c:ext xmlns:c16="http://schemas.microsoft.com/office/drawing/2014/chart" uri="{C3380CC4-5D6E-409C-BE32-E72D297353CC}">
              <c16:uniqueId val="{00000007-CCD5-4B67-9D0A-8AC8159470CE}"/>
            </c:ext>
          </c:extLst>
        </c:ser>
        <c:ser>
          <c:idx val="4"/>
          <c:order val="4"/>
          <c:tx>
            <c:strRef>
              <c:f>'Introducción de datos'!$G$83</c:f>
              <c:strCache>
                <c:ptCount val="1"/>
                <c:pt idx="0">
                  <c:v> Que reciben financiación </c:v>
                </c:pt>
              </c:strCache>
            </c:strRef>
          </c:tx>
          <c:spPr>
            <a:solidFill>
              <a:schemeClr val="bg1">
                <a:lumMod val="65000"/>
              </a:schemeClr>
            </a:solidFill>
            <a:effectLst>
              <a:outerShdw blurRad="50800" dist="38100" dir="2700000" algn="tl" rotWithShape="0">
                <a:prstClr val="black">
                  <a:alpha val="40000"/>
                </a:prstClr>
              </a:outerShdw>
            </a:effectLst>
          </c:spPr>
          <c:invertIfNegative val="0"/>
          <c:dPt>
            <c:idx val="0"/>
            <c:invertIfNegative val="0"/>
            <c:bubble3D val="0"/>
            <c:spPr>
              <a:solidFill>
                <a:schemeClr val="bg1">
                  <a:lumMod val="65000"/>
                </a:schemeClr>
              </a:solidFill>
              <a:ln>
                <a:solidFill>
                  <a:schemeClr val="tx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8-CCD5-4B67-9D0A-8AC8159470CE}"/>
              </c:ext>
            </c:extLst>
          </c:dPt>
          <c:dLbls>
            <c:spPr>
              <a:noFill/>
              <a:ln w="25400">
                <a:noFill/>
              </a:ln>
            </c:spPr>
            <c:txPr>
              <a:bodyPr/>
              <a:lstStyle/>
              <a:p>
                <a:pPr>
                  <a:defRPr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datos'!$G$84</c:f>
              <c:numCache>
                <c:formatCode>General</c:formatCode>
                <c:ptCount val="1"/>
                <c:pt idx="0">
                  <c:v>0</c:v>
                </c:pt>
              </c:numCache>
            </c:numRef>
          </c:val>
          <c:extLst>
            <c:ext xmlns:c16="http://schemas.microsoft.com/office/drawing/2014/chart" uri="{C3380CC4-5D6E-409C-BE32-E72D297353CC}">
              <c16:uniqueId val="{00000009-CCD5-4B67-9D0A-8AC8159470CE}"/>
            </c:ext>
          </c:extLst>
        </c:ser>
        <c:dLbls>
          <c:showLegendKey val="0"/>
          <c:showVal val="0"/>
          <c:showCatName val="0"/>
          <c:showSerName val="0"/>
          <c:showPercent val="0"/>
          <c:showBubbleSize val="0"/>
        </c:dLbls>
        <c:gapWidth val="150"/>
        <c:overlap val="-20"/>
        <c:axId val="449501256"/>
        <c:axId val="1"/>
      </c:barChart>
      <c:catAx>
        <c:axId val="449501256"/>
        <c:scaling>
          <c:orientation val="minMax"/>
        </c:scaling>
        <c:delete val="0"/>
        <c:axPos val="b"/>
        <c:majorTickMark val="none"/>
        <c:minorTickMark val="none"/>
        <c:tickLblPos val="none"/>
        <c:spPr>
          <a:ln w="3175">
            <a:solidFill>
              <a:srgbClr val="000000"/>
            </a:solidFill>
            <a:prstDash val="solid"/>
          </a:ln>
        </c:spPr>
        <c:crossAx val="1"/>
        <c:crosses val="autoZero"/>
        <c:auto val="0"/>
        <c:lblAlgn val="ctr"/>
        <c:lblOffset val="100"/>
        <c:tickMarkSkip val="1"/>
        <c:noMultiLvlLbl val="0"/>
      </c:catAx>
      <c:valAx>
        <c:axId val="1"/>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PE"/>
          </a:p>
        </c:txPr>
        <c:crossAx val="449501256"/>
        <c:crosses val="autoZero"/>
        <c:crossBetween val="between"/>
      </c:valAx>
      <c:spPr>
        <a:noFill/>
        <a:ln w="25400">
          <a:noFill/>
        </a:ln>
      </c:spPr>
    </c:plotArea>
    <c:legend>
      <c:legendPos val="r"/>
      <c:layout>
        <c:manualLayout>
          <c:xMode val="edge"/>
          <c:yMode val="edge"/>
          <c:x val="9.6997690531177835E-2"/>
          <c:y val="0.83505154639175261"/>
          <c:w val="0.87990859110278652"/>
          <c:h val="8.2474226804123751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s-P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PE"/>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68518518518517"/>
          <c:y val="5.6000000000000001E-2"/>
          <c:w val="0.54398148148148151"/>
          <c:h val="0.56000000000000005"/>
        </c:manualLayout>
      </c:layout>
      <c:barChart>
        <c:barDir val="bar"/>
        <c:grouping val="percentStacked"/>
        <c:varyColors val="0"/>
        <c:ser>
          <c:idx val="0"/>
          <c:order val="0"/>
          <c:tx>
            <c:v>Cumplidas</c:v>
          </c:tx>
          <c:spPr>
            <a:solidFill>
              <a:srgbClr val="99CC00"/>
            </a:solidFill>
            <a:ln w="12700">
              <a:noFill/>
              <a:prstDash val="solid"/>
            </a:ln>
            <a:effectLst>
              <a:outerShdw blurRad="50800" dist="38100" dir="2700000" algn="tl" rotWithShape="0">
                <a:prstClr val="black">
                  <a:alpha val="40000"/>
                </a:prstClr>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datos'!$B$72:$B$73</c:f>
              <c:strCache>
                <c:ptCount val="2"/>
                <c:pt idx="0">
                  <c:v> Condiciones precedentes </c:v>
                </c:pt>
                <c:pt idx="1">
                  <c:v> Acciones con fecha límite </c:v>
                </c:pt>
              </c:strCache>
            </c:strRef>
          </c:cat>
          <c:val>
            <c:numRef>
              <c:f>'Introducción de datos'!$D$72:$D$73</c:f>
              <c:numCache>
                <c:formatCode>0</c:formatCode>
                <c:ptCount val="2"/>
                <c:pt idx="0">
                  <c:v>5</c:v>
                </c:pt>
              </c:numCache>
            </c:numRef>
          </c:val>
          <c:extLst>
            <c:ext xmlns:c16="http://schemas.microsoft.com/office/drawing/2014/chart" uri="{C3380CC4-5D6E-409C-BE32-E72D297353CC}">
              <c16:uniqueId val="{00000000-7615-4E48-84E5-B70B01DEB4A6}"/>
            </c:ext>
          </c:extLst>
        </c:ser>
        <c:ser>
          <c:idx val="1"/>
          <c:order val="1"/>
          <c:tx>
            <c:v>No cumplidas, aunque dentro de plazo</c:v>
          </c:tx>
          <c:spPr>
            <a:solidFill>
              <a:srgbClr val="FFFF99"/>
            </a:solidFill>
            <a:ln w="12700">
              <a:noFill/>
              <a:prstDash val="solid"/>
            </a:ln>
            <a:effectLst>
              <a:outerShdw blurRad="50800" dist="38100" dir="2700000" algn="tl" rotWithShape="0">
                <a:prstClr val="black">
                  <a:alpha val="40000"/>
                </a:prstClr>
              </a:outerShdw>
            </a:effectLst>
          </c:spPr>
          <c:invertIfNegative val="0"/>
          <c:dLbls>
            <c:spPr>
              <a:noFill/>
              <a:ln w="25400">
                <a:noFill/>
              </a:ln>
            </c:spPr>
            <c:txPr>
              <a:bodyPr/>
              <a:lstStyle/>
              <a:p>
                <a:pPr>
                  <a:defRPr sz="8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datos'!$B$72:$B$73</c:f>
              <c:strCache>
                <c:ptCount val="2"/>
                <c:pt idx="0">
                  <c:v> Condiciones precedentes </c:v>
                </c:pt>
                <c:pt idx="1">
                  <c:v> Acciones con fecha límite </c:v>
                </c:pt>
              </c:strCache>
            </c:strRef>
          </c:cat>
          <c:val>
            <c:numRef>
              <c:f>'Introducción de datos'!$E$72:$E$73</c:f>
              <c:numCache>
                <c:formatCode>0</c:formatCode>
                <c:ptCount val="2"/>
                <c:pt idx="0">
                  <c:v>4</c:v>
                </c:pt>
              </c:numCache>
            </c:numRef>
          </c:val>
          <c:extLst>
            <c:ext xmlns:c16="http://schemas.microsoft.com/office/drawing/2014/chart" uri="{C3380CC4-5D6E-409C-BE32-E72D297353CC}">
              <c16:uniqueId val="{00000001-7615-4E48-84E5-B70B01DEB4A6}"/>
            </c:ext>
          </c:extLst>
        </c:ser>
        <c:ser>
          <c:idx val="2"/>
          <c:order val="2"/>
          <c:tx>
            <c:v>No cumplidas y con el plazo vencido</c:v>
          </c:tx>
          <c:spPr>
            <a:solidFill>
              <a:srgbClr val="FF5050"/>
            </a:solidFill>
            <a:ln w="12700">
              <a:noFill/>
              <a:prstDash val="solid"/>
            </a:ln>
            <a:effectLst>
              <a:outerShdw blurRad="50800" dist="38100" dir="2700000" algn="tl" rotWithShape="0">
                <a:prstClr val="black">
                  <a:alpha val="40000"/>
                </a:prstClr>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datos'!$B$72:$B$73</c:f>
              <c:strCache>
                <c:ptCount val="2"/>
                <c:pt idx="0">
                  <c:v> Condiciones precedentes </c:v>
                </c:pt>
                <c:pt idx="1">
                  <c:v> Acciones con fecha límite </c:v>
                </c:pt>
              </c:strCache>
            </c:strRef>
          </c:cat>
          <c:val>
            <c:numRef>
              <c:f>'Introducción de datos'!$F$72:$F$73</c:f>
              <c:numCache>
                <c:formatCode>0</c:formatCode>
                <c:ptCount val="2"/>
                <c:pt idx="0">
                  <c:v>0</c:v>
                </c:pt>
              </c:numCache>
            </c:numRef>
          </c:val>
          <c:extLst>
            <c:ext xmlns:c16="http://schemas.microsoft.com/office/drawing/2014/chart" uri="{C3380CC4-5D6E-409C-BE32-E72D297353CC}">
              <c16:uniqueId val="{00000002-7615-4E48-84E5-B70B01DEB4A6}"/>
            </c:ext>
          </c:extLst>
        </c:ser>
        <c:dLbls>
          <c:showLegendKey val="0"/>
          <c:showVal val="0"/>
          <c:showCatName val="0"/>
          <c:showSerName val="0"/>
          <c:showPercent val="0"/>
          <c:showBubbleSize val="0"/>
        </c:dLbls>
        <c:gapWidth val="70"/>
        <c:overlap val="100"/>
        <c:axId val="449495680"/>
        <c:axId val="1"/>
      </c:barChart>
      <c:catAx>
        <c:axId val="4494956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PE"/>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PE"/>
          </a:p>
        </c:txPr>
        <c:crossAx val="449495680"/>
        <c:crosses val="autoZero"/>
        <c:crossBetween val="between"/>
      </c:valAx>
      <c:spPr>
        <a:noFill/>
        <a:ln w="25400">
          <a:noFill/>
        </a:ln>
      </c:spPr>
    </c:plotArea>
    <c:legend>
      <c:legendPos val="r"/>
      <c:layout>
        <c:manualLayout>
          <c:xMode val="edge"/>
          <c:yMode val="edge"/>
          <c:x val="1.0460251046025104E-2"/>
          <c:y val="0.82119483408944738"/>
          <c:w val="0.95606782415796343"/>
          <c:h val="0.14569605951573938"/>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s-PE"/>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s-PE"/>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47619047619047"/>
          <c:y val="0.12041884816753927"/>
          <c:w val="0.62554112554112551"/>
          <c:h val="0.54973821989528793"/>
        </c:manualLayout>
      </c:layout>
      <c:barChart>
        <c:barDir val="bar"/>
        <c:grouping val="percentStacked"/>
        <c:varyColors val="0"/>
        <c:ser>
          <c:idx val="0"/>
          <c:order val="0"/>
          <c:tx>
            <c:strRef>
              <c:f>'Introducción de datos'!$D$88</c:f>
              <c:strCache>
                <c:ptCount val="1"/>
                <c:pt idx="0">
                  <c:v> Recibidos </c:v>
                </c:pt>
              </c:strCache>
            </c:strRef>
          </c:tx>
          <c:spPr>
            <a:solidFill>
              <a:srgbClr val="99CC00"/>
            </a:solidFill>
            <a:ln>
              <a:noFill/>
            </a:ln>
            <a:effectLst>
              <a:outerShdw blurRad="50800" dist="38100" dir="2700000" algn="tl" rotWithShape="0">
                <a:prstClr val="black">
                  <a:alpha val="40000"/>
                </a:prstClr>
              </a:outerShdw>
            </a:effectLst>
          </c:spPr>
          <c:invertIfNegative val="0"/>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datos'!$B$89:$B$90</c:f>
              <c:strCache>
                <c:ptCount val="2"/>
                <c:pt idx="0">
                  <c:v> Sub SR al SR </c:v>
                </c:pt>
                <c:pt idx="1">
                  <c:v> SR al RP </c:v>
                </c:pt>
              </c:strCache>
            </c:strRef>
          </c:cat>
          <c:val>
            <c:numRef>
              <c:f>'Introducción de datos'!$D$89:$D$90</c:f>
              <c:numCache>
                <c:formatCode>0</c:formatCode>
                <c:ptCount val="2"/>
                <c:pt idx="0">
                  <c:v>0</c:v>
                </c:pt>
                <c:pt idx="1">
                  <c:v>0</c:v>
                </c:pt>
              </c:numCache>
            </c:numRef>
          </c:val>
          <c:extLst>
            <c:ext xmlns:c16="http://schemas.microsoft.com/office/drawing/2014/chart" uri="{C3380CC4-5D6E-409C-BE32-E72D297353CC}">
              <c16:uniqueId val="{00000000-7B56-425C-BAFD-EBEA722C7FC3}"/>
            </c:ext>
          </c:extLst>
        </c:ser>
        <c:ser>
          <c:idx val="1"/>
          <c:order val="1"/>
          <c:tx>
            <c:strRef>
              <c:f>'Introducción de datos'!$E$88</c:f>
              <c:strCache>
                <c:ptCount val="1"/>
                <c:pt idx="0">
                  <c:v> Pendientes </c:v>
                </c:pt>
              </c:strCache>
            </c:strRef>
          </c:tx>
          <c:spPr>
            <a:solidFill>
              <a:srgbClr val="FF5050"/>
            </a:solidFill>
            <a:effectLst>
              <a:outerShdw blurRad="50800" dist="38100" dir="2700000" algn="tl" rotWithShape="0">
                <a:prstClr val="black">
                  <a:alpha val="40000"/>
                </a:prstClr>
              </a:outerShdw>
            </a:effectLst>
          </c:spPr>
          <c:invertIfNegative val="0"/>
          <c:dLbls>
            <c:dLbl>
              <c:idx val="0"/>
              <c:spPr>
                <a:noFill/>
                <a:ln w="25400">
                  <a:noFill/>
                </a:ln>
              </c:spPr>
              <c:txPr>
                <a:bodyPr/>
                <a:lstStyle/>
                <a:p>
                  <a:pPr>
                    <a:defRPr sz="11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6="http://schemas.microsoft.com/office/drawing/2014/chart" uri="{C3380CC4-5D6E-409C-BE32-E72D297353CC}">
                  <c16:uniqueId val="{00000001-7B56-425C-BAFD-EBEA722C7FC3}"/>
                </c:ext>
              </c:extLst>
            </c:dLbl>
            <c:dLbl>
              <c:idx val="1"/>
              <c:spPr>
                <a:noFill/>
                <a:ln w="25400">
                  <a:noFill/>
                </a:ln>
              </c:spPr>
              <c:txPr>
                <a:bodyPr/>
                <a:lstStyle/>
                <a:p>
                  <a:pPr>
                    <a:defRPr sz="11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6="http://schemas.microsoft.com/office/drawing/2014/chart" uri="{C3380CC4-5D6E-409C-BE32-E72D297353CC}">
                  <c16:uniqueId val="{00000002-7B56-425C-BAFD-EBEA722C7FC3}"/>
                </c:ext>
              </c:extLst>
            </c:dLbl>
            <c:spPr>
              <a:noFill/>
              <a:ln w="25400">
                <a:noFill/>
              </a:ln>
            </c:spPr>
            <c:txPr>
              <a:bodyPr/>
              <a:lstStyle/>
              <a:p>
                <a:pPr>
                  <a:defRPr sz="1100" b="1">
                    <a:solidFill>
                      <a:schemeClr val="bg1"/>
                    </a:solidFil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datos'!$B$89:$B$90</c:f>
              <c:strCache>
                <c:ptCount val="2"/>
                <c:pt idx="0">
                  <c:v> Sub SR al SR </c:v>
                </c:pt>
                <c:pt idx="1">
                  <c:v> SR al RP </c:v>
                </c:pt>
              </c:strCache>
            </c:strRef>
          </c:cat>
          <c:val>
            <c:numRef>
              <c:f>'Introducción de datos'!$E$89:$E$90</c:f>
              <c:numCache>
                <c:formatCode>0</c:formatCode>
                <c:ptCount val="2"/>
                <c:pt idx="0">
                  <c:v>0</c:v>
                </c:pt>
                <c:pt idx="1">
                  <c:v>0</c:v>
                </c:pt>
              </c:numCache>
            </c:numRef>
          </c:val>
          <c:extLst>
            <c:ext xmlns:c16="http://schemas.microsoft.com/office/drawing/2014/chart" uri="{C3380CC4-5D6E-409C-BE32-E72D297353CC}">
              <c16:uniqueId val="{00000003-7B56-425C-BAFD-EBEA722C7FC3}"/>
            </c:ext>
          </c:extLst>
        </c:ser>
        <c:dLbls>
          <c:showLegendKey val="0"/>
          <c:showVal val="0"/>
          <c:showCatName val="0"/>
          <c:showSerName val="0"/>
          <c:showPercent val="0"/>
          <c:showBubbleSize val="0"/>
        </c:dLbls>
        <c:gapWidth val="79"/>
        <c:overlap val="100"/>
        <c:axId val="449501912"/>
        <c:axId val="1"/>
      </c:barChart>
      <c:catAx>
        <c:axId val="449501912"/>
        <c:scaling>
          <c:orientation val="minMax"/>
        </c:scaling>
        <c:delete val="0"/>
        <c:axPos val="l"/>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scaling>
        <c:delete val="0"/>
        <c:axPos val="t"/>
        <c:majorGridlines/>
        <c:numFmt formatCode="0%" sourceLinked="1"/>
        <c:majorTickMark val="out"/>
        <c:minorTickMark val="none"/>
        <c:tickLblPos val="low"/>
        <c:txPr>
          <a:bodyPr rot="0" vert="horz"/>
          <a:lstStyle/>
          <a:p>
            <a:pPr>
              <a:defRPr/>
            </a:pPr>
            <a:endParaRPr lang="es-PE"/>
          </a:p>
        </c:txPr>
        <c:crossAx val="449501912"/>
        <c:crosses val="max"/>
        <c:crossBetween val="between"/>
      </c:valAx>
    </c:plotArea>
    <c:legend>
      <c:legendPos val="r"/>
      <c:layout>
        <c:manualLayout>
          <c:xMode val="edge"/>
          <c:yMode val="edge"/>
          <c:x val="0.37037099567729637"/>
          <c:y val="0.86154276869237501"/>
          <c:w val="0.31666720033378459"/>
          <c:h val="0.11282105121475194"/>
        </c:manualLayout>
      </c:layout>
      <c:overlay val="0"/>
    </c:legend>
    <c:plotVisOnly val="1"/>
    <c:dispBlanksAs val="gap"/>
    <c:showDLblsOverMax val="0"/>
  </c:chart>
  <c:spPr>
    <a:ln>
      <a:noFill/>
    </a:ln>
  </c:sp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07934811415598"/>
          <c:y val="0.12578712923736945"/>
          <c:w val="0.8636182206598233"/>
          <c:h val="0.49685916048760936"/>
        </c:manualLayout>
      </c:layout>
      <c:lineChart>
        <c:grouping val="standard"/>
        <c:varyColors val="0"/>
        <c:ser>
          <c:idx val="0"/>
          <c:order val="0"/>
          <c:tx>
            <c:v>Presupuesto aprobado</c:v>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'Introducción de datos'!$C$98:$N$98</c:f>
              <c:numCache>
                <c:formatCode>#,##0</c:formatCode>
                <c:ptCount val="12"/>
                <c:pt idx="0">
                  <c:v>0</c:v>
                </c:pt>
                <c:pt idx="1">
                  <c:v>0</c:v>
                </c:pt>
                <c:pt idx="2">
                  <c:v>0</c:v>
                </c:pt>
                <c:pt idx="3">
                  <c:v>717637</c:v>
                </c:pt>
                <c:pt idx="4">
                  <c:v>996225</c:v>
                </c:pt>
                <c:pt idx="5">
                  <c:v>996225</c:v>
                </c:pt>
                <c:pt idx="6">
                  <c:v>996225</c:v>
                </c:pt>
                <c:pt idx="7">
                  <c:v>1520701</c:v>
                </c:pt>
                <c:pt idx="8">
                  <c:v>1520701</c:v>
                </c:pt>
                <c:pt idx="9">
                  <c:v>1520701</c:v>
                </c:pt>
                <c:pt idx="10">
                  <c:v>1520701</c:v>
                </c:pt>
                <c:pt idx="11">
                  <c:v>1520701</c:v>
                </c:pt>
              </c:numCache>
            </c:numRef>
          </c:val>
          <c:smooth val="0"/>
          <c:extLst>
            <c:ext xmlns:c16="http://schemas.microsoft.com/office/drawing/2014/chart" uri="{C3380CC4-5D6E-409C-BE32-E72D297353CC}">
              <c16:uniqueId val="{00000000-B5CF-492A-BE70-040375F37CA8}"/>
            </c:ext>
          </c:extLst>
        </c:ser>
        <c:ser>
          <c:idx val="1"/>
          <c:order val="1"/>
          <c:tx>
            <c:v>Obligaciones acumuladas</c:v>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'Introducción de datos'!$C$99:$N$99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5CF-492A-BE70-040375F37CA8}"/>
            </c:ext>
          </c:extLst>
        </c:ser>
        <c:ser>
          <c:idx val="2"/>
          <c:order val="2"/>
          <c:tx>
            <c:v>Gastos acumulados </c:v>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'Introducción de datos'!$C$100:$N$100</c:f>
              <c:numCache>
                <c:formatCode>#,##0</c:formatCode>
                <c:ptCount val="12"/>
                <c:pt idx="0">
                  <c:v>0</c:v>
                </c:pt>
                <c:pt idx="1">
                  <c:v>737325</c:v>
                </c:pt>
                <c:pt idx="2">
                  <c:v>737325</c:v>
                </c:pt>
                <c:pt idx="3">
                  <c:v>985286</c:v>
                </c:pt>
                <c:pt idx="4">
                  <c:v>985286</c:v>
                </c:pt>
                <c:pt idx="5">
                  <c:v>985286</c:v>
                </c:pt>
                <c:pt idx="6">
                  <c:v>985286</c:v>
                </c:pt>
                <c:pt idx="7">
                  <c:v>985286</c:v>
                </c:pt>
                <c:pt idx="8">
                  <c:v>985286</c:v>
                </c:pt>
                <c:pt idx="9">
                  <c:v>985286</c:v>
                </c:pt>
                <c:pt idx="10">
                  <c:v>985286</c:v>
                </c:pt>
                <c:pt idx="11">
                  <c:v>985286</c:v>
                </c:pt>
              </c:numCache>
            </c:numRef>
          </c:val>
          <c:smooth val="0"/>
          <c:extLst>
            <c:ext xmlns:c16="http://schemas.microsoft.com/office/drawing/2014/chart" uri="{C3380CC4-5D6E-409C-BE32-E72D297353CC}">
              <c16:uniqueId val="{00000002-B5CF-492A-BE70-040375F37CA8}"/>
            </c:ext>
          </c:extLst>
        </c:ser>
        <c:dLbls>
          <c:showLegendKey val="0"/>
          <c:showVal val="0"/>
          <c:showCatName val="0"/>
          <c:showSerName val="0"/>
          <c:showPercent val="0"/>
          <c:showBubbleSize val="0"/>
        </c:dLbls>
        <c:marker val="1"/>
        <c:smooth val="0"/>
        <c:axId val="452340552"/>
        <c:axId val="1"/>
      </c:lineChart>
      <c:catAx>
        <c:axId val="452340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s-P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s-PE"/>
          </a:p>
        </c:txPr>
        <c:crossAx val="452340552"/>
        <c:crosses val="autoZero"/>
        <c:crossBetween val="between"/>
      </c:valAx>
      <c:spPr>
        <a:solidFill>
          <a:srgbClr val="FFFFFF"/>
        </a:solidFill>
        <a:ln w="12700">
          <a:solidFill>
            <a:srgbClr val="808080"/>
          </a:solidFill>
          <a:prstDash val="solid"/>
        </a:ln>
      </c:spPr>
    </c:plotArea>
    <c:legend>
      <c:legendPos val="r"/>
      <c:layout>
        <c:manualLayout>
          <c:xMode val="edge"/>
          <c:yMode val="edge"/>
          <c:x val="8.9715536105032828E-2"/>
          <c:y val="0.72932330827067671"/>
          <c:w val="0.85995715524618499"/>
          <c:h val="0.18796992481203012"/>
        </c:manualLayout>
      </c:layout>
      <c:overlay val="0"/>
      <c:spPr>
        <a:noFill/>
        <a:ln w="25400">
          <a:noFill/>
        </a:ln>
      </c:spPr>
      <c:txPr>
        <a:bodyPr/>
        <a:lstStyle/>
        <a:p>
          <a:pPr>
            <a:defRPr sz="700" b="0" i="0" u="none" strike="noStrike" baseline="0">
              <a:solidFill>
                <a:srgbClr val="000000"/>
              </a:solidFill>
              <a:latin typeface="Arial"/>
              <a:ea typeface="Arial"/>
              <a:cs typeface="Arial"/>
            </a:defRPr>
          </a:pPr>
          <a:endParaRPr lang="es-P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PE"/>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489E-2"/>
          <c:w val="0.8331400431932956"/>
          <c:h val="0.65320736566206339"/>
        </c:manualLayout>
      </c:layout>
      <c:barChart>
        <c:barDir val="col"/>
        <c:grouping val="clustered"/>
        <c:varyColors val="0"/>
        <c:ser>
          <c:idx val="0"/>
          <c:order val="0"/>
          <c:tx>
            <c:v>Meta</c:v>
          </c:tx>
          <c:spPr>
            <a:solidFill>
              <a:srgbClr val="0066CC"/>
            </a:solidFill>
            <a:ln w="25400">
              <a:noFill/>
            </a:ln>
          </c:spPr>
          <c:invertIfNegative val="0"/>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datos'!$H$120:$S$120</c:f>
              <c:numCache>
                <c:formatCode>#,##0</c:formatCode>
                <c:ptCount val="12"/>
                <c:pt idx="1">
                  <c:v>6907</c:v>
                </c:pt>
                <c:pt idx="5">
                  <c:v>8979</c:v>
                </c:pt>
              </c:numCache>
            </c:numRef>
          </c:val>
          <c:extLst>
            <c:ext xmlns:c16="http://schemas.microsoft.com/office/drawing/2014/chart" uri="{C3380CC4-5D6E-409C-BE32-E72D297353CC}">
              <c16:uniqueId val="{00000000-5678-4EB2-98DA-025260ACD1B4}"/>
            </c:ext>
          </c:extLst>
        </c:ser>
        <c:ser>
          <c:idx val="1"/>
          <c:order val="1"/>
          <c:tx>
            <c:v>Logro</c:v>
          </c:tx>
          <c:spPr>
            <a:solidFill>
              <a:srgbClr val="00CCFF"/>
            </a:solidFill>
            <a:ln w="12700">
              <a:solidFill>
                <a:srgbClr val="000000"/>
              </a:solidFill>
              <a:prstDash val="solid"/>
            </a:ln>
          </c:spPr>
          <c:invertIfNegative val="0"/>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datos'!$H$121:$S$121</c:f>
              <c:numCache>
                <c:formatCode>#,##0</c:formatCode>
                <c:ptCount val="12"/>
                <c:pt idx="1">
                  <c:v>1422</c:v>
                </c:pt>
                <c:pt idx="3">
                  <c:v>938</c:v>
                </c:pt>
                <c:pt idx="4">
                  <c:v>390</c:v>
                </c:pt>
              </c:numCache>
            </c:numRef>
          </c:val>
          <c:extLst>
            <c:ext xmlns:c16="http://schemas.microsoft.com/office/drawing/2014/chart" uri="{C3380CC4-5D6E-409C-BE32-E72D297353CC}">
              <c16:uniqueId val="{00000001-5678-4EB2-98DA-025260ACD1B4}"/>
            </c:ext>
          </c:extLst>
        </c:ser>
        <c:dLbls>
          <c:showLegendKey val="0"/>
          <c:showVal val="0"/>
          <c:showCatName val="0"/>
          <c:showSerName val="0"/>
          <c:showPercent val="0"/>
          <c:showBubbleSize val="0"/>
        </c:dLbls>
        <c:gapWidth val="150"/>
        <c:axId val="452339568"/>
        <c:axId val="1"/>
      </c:barChart>
      <c:catAx>
        <c:axId val="452339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P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PE"/>
          </a:p>
        </c:txPr>
        <c:crossAx val="452339568"/>
        <c:crosses val="autoZero"/>
        <c:crossBetween val="between"/>
      </c:valAx>
      <c:spPr>
        <a:noFill/>
        <a:ln w="25400">
          <a:noFill/>
        </a:ln>
      </c:spPr>
    </c:plotArea>
    <c:legend>
      <c:legendPos val="r"/>
      <c:layout>
        <c:manualLayout>
          <c:xMode val="edge"/>
          <c:yMode val="edge"/>
          <c:x val="0.19536429233474528"/>
          <c:y val="0.91146322094353593"/>
          <c:w val="0.54304652512495344"/>
          <c:h val="7.2916885389326391E-2"/>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s-P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s-PE"/>
    </a:p>
  </c:txPr>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Informaci&#243;n de la subvenci&#243;n'!A1"/><Relationship Id="rId13" Type="http://schemas.openxmlformats.org/officeDocument/2006/relationships/image" Target="../media/image5.png"/><Relationship Id="rId3" Type="http://schemas.openxmlformats.org/officeDocument/2006/relationships/hyperlink" Target="#Financiamiento!A1"/><Relationship Id="rId7" Type="http://schemas.openxmlformats.org/officeDocument/2006/relationships/hyperlink" Target="#Accione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endaciones!A1"/><Relationship Id="rId11" Type="http://schemas.openxmlformats.org/officeDocument/2006/relationships/image" Target="../media/image3.png"/><Relationship Id="rId5" Type="http://schemas.openxmlformats.org/officeDocument/2006/relationships/hyperlink" Target="#Gesti&#243;n!A1"/><Relationship Id="rId10" Type="http://schemas.openxmlformats.org/officeDocument/2006/relationships/hyperlink" Target="#'Introducci&#243;n de datos'!A1"/><Relationship Id="rId4" Type="http://schemas.openxmlformats.org/officeDocument/2006/relationships/hyperlink" Target="#Programatico!A1"/><Relationship Id="rId9" Type="http://schemas.openxmlformats.org/officeDocument/2006/relationships/hyperlink" Target="#'Lista de indicadores'!A1"/></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2" Type="http://schemas.openxmlformats.org/officeDocument/2006/relationships/hyperlink" Target="#Men&#250;!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250;!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250;!A1"/></Relationships>
</file>

<file path=xl/drawings/_rels/drawing9.xml.rels><?xml version="1.0" encoding="UTF-8" standalone="yes"?>
<Relationships xmlns="http://schemas.openxmlformats.org/package/2006/relationships"><Relationship Id="rId2" Type="http://schemas.openxmlformats.org/officeDocument/2006/relationships/hyperlink" Target="#Men&#250;!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180975</xdr:rowOff>
    </xdr:from>
    <xdr:to>
      <xdr:col>11</xdr:col>
      <xdr:colOff>666750</xdr:colOff>
      <xdr:row>19</xdr:row>
      <xdr:rowOff>133350</xdr:rowOff>
    </xdr:to>
    <xdr:pic>
      <xdr:nvPicPr>
        <xdr:cNvPr id="4561569" name="Picture 2">
          <a:extLst>
            <a:ext uri="{FF2B5EF4-FFF2-40B4-BE49-F238E27FC236}">
              <a16:creationId xmlns:a16="http://schemas.microsoft.com/office/drawing/2014/main" id="{58F2EF48-1F35-4B75-8AA5-D5B0888866F2}"/>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47625" y="1419225"/>
          <a:ext cx="7610475"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866775</xdr:colOff>
      <xdr:row>7</xdr:row>
      <xdr:rowOff>57150</xdr:rowOff>
    </xdr:from>
    <xdr:to>
      <xdr:col>11</xdr:col>
      <xdr:colOff>552450</xdr:colOff>
      <xdr:row>18</xdr:row>
      <xdr:rowOff>180975</xdr:rowOff>
    </xdr:to>
    <xdr:pic>
      <xdr:nvPicPr>
        <xdr:cNvPr id="4561570" name="Picture 824">
          <a:extLst>
            <a:ext uri="{FF2B5EF4-FFF2-40B4-BE49-F238E27FC236}">
              <a16:creationId xmlns:a16="http://schemas.microsoft.com/office/drawing/2014/main" id="{D0AD9250-476F-4563-9FE7-4E47FDE089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10200" y="1866900"/>
          <a:ext cx="2190750" cy="221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323850</xdr:colOff>
      <xdr:row>7</xdr:row>
      <xdr:rowOff>133350</xdr:rowOff>
    </xdr:from>
    <xdr:to>
      <xdr:col>7</xdr:col>
      <xdr:colOff>695325</xdr:colOff>
      <xdr:row>18</xdr:row>
      <xdr:rowOff>95250</xdr:rowOff>
    </xdr:to>
    <xdr:sp macro="" textlink="">
      <xdr:nvSpPr>
        <xdr:cNvPr id="4561571" name="AutoShape 27">
          <a:extLst>
            <a:ext uri="{FF2B5EF4-FFF2-40B4-BE49-F238E27FC236}">
              <a16:creationId xmlns:a16="http://schemas.microsoft.com/office/drawing/2014/main" id="{95FB6F4C-FA74-498A-8C61-B56C7D2D5AEB}"/>
            </a:ext>
          </a:extLst>
        </xdr:cNvPr>
        <xdr:cNvSpPr>
          <a:spLocks noChangeArrowheads="1"/>
        </xdr:cNvSpPr>
      </xdr:nvSpPr>
      <xdr:spPr bwMode="gray">
        <a:xfrm>
          <a:off x="2686050" y="1943100"/>
          <a:ext cx="2657475" cy="20574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371475</xdr:colOff>
      <xdr:row>10</xdr:row>
      <xdr:rowOff>57150</xdr:rowOff>
    </xdr:from>
    <xdr:to>
      <xdr:col>6</xdr:col>
      <xdr:colOff>742950</xdr:colOff>
      <xdr:row>12</xdr:row>
      <xdr:rowOff>47625</xdr:rowOff>
    </xdr:to>
    <xdr:sp macro="" textlink="">
      <xdr:nvSpPr>
        <xdr:cNvPr id="4561572" name="AutoShape 26">
          <a:extLst>
            <a:ext uri="{FF2B5EF4-FFF2-40B4-BE49-F238E27FC236}">
              <a16:creationId xmlns:a16="http://schemas.microsoft.com/office/drawing/2014/main" id="{9C4399D6-FEBB-4148-B382-928FF242E0D1}"/>
            </a:ext>
          </a:extLst>
        </xdr:cNvPr>
        <xdr:cNvSpPr>
          <a:spLocks noChangeArrowheads="1"/>
        </xdr:cNvSpPr>
      </xdr:nvSpPr>
      <xdr:spPr bwMode="gray">
        <a:xfrm>
          <a:off x="3495675" y="2438400"/>
          <a:ext cx="1133475" cy="371475"/>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clientData/>
  </xdr:twoCellAnchor>
  <xdr:twoCellAnchor>
    <xdr:from>
      <xdr:col>5</xdr:col>
      <xdr:colOff>373380</xdr:colOff>
      <xdr:row>10</xdr:row>
      <xdr:rowOff>116205</xdr:rowOff>
    </xdr:from>
    <xdr:to>
      <xdr:col>6</xdr:col>
      <xdr:colOff>723639</xdr:colOff>
      <xdr:row>12</xdr:row>
      <xdr:rowOff>5266</xdr:rowOff>
    </xdr:to>
    <xdr:sp macro="" textlink="">
      <xdr:nvSpPr>
        <xdr:cNvPr id="1869396" name="AutoShape 27">
          <a:hlinkClick xmlns:r="http://schemas.openxmlformats.org/officeDocument/2006/relationships" r:id="rId3"/>
          <a:extLst>
            <a:ext uri="{FF2B5EF4-FFF2-40B4-BE49-F238E27FC236}">
              <a16:creationId xmlns:a16="http://schemas.microsoft.com/office/drawing/2014/main" id="{EAD2CE10-443C-475E-BE48-FE72BA516343}"/>
            </a:ext>
          </a:extLst>
        </xdr:cNvPr>
        <xdr:cNvSpPr>
          <a:spLocks noChangeArrowheads="1"/>
        </xdr:cNvSpPr>
      </xdr:nvSpPr>
      <xdr:spPr bwMode="gray">
        <a:xfrm>
          <a:off x="3426069" y="2459648"/>
          <a:ext cx="1028700" cy="29527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27432" tIns="22860" rIns="27432" bIns="22860" anchor="ctr" upright="1"/>
        <a:lstStyle/>
        <a:p>
          <a:pPr algn="ctr" rtl="0">
            <a:defRPr sz="1000"/>
          </a:pPr>
          <a:r>
            <a:rPr lang="en-US" sz="1000" b="0" i="0" u="none" strike="noStrike" baseline="0">
              <a:solidFill>
                <a:srgbClr val="FFFFFF"/>
              </a:solidFill>
              <a:latin typeface="Arial"/>
              <a:cs typeface="Arial"/>
            </a:rPr>
            <a:t>Financieros</a:t>
          </a:r>
        </a:p>
      </xdr:txBody>
    </xdr:sp>
    <xdr:clientData/>
  </xdr:twoCellAnchor>
  <xdr:twoCellAnchor>
    <xdr:from>
      <xdr:col>5</xdr:col>
      <xdr:colOff>390525</xdr:colOff>
      <xdr:row>10</xdr:row>
      <xdr:rowOff>144780</xdr:rowOff>
    </xdr:from>
    <xdr:to>
      <xdr:col>5</xdr:col>
      <xdr:colOff>521494</xdr:colOff>
      <xdr:row>11</xdr:row>
      <xdr:rowOff>78231</xdr:rowOff>
    </xdr:to>
    <xdr:sp macro="" textlink="">
      <xdr:nvSpPr>
        <xdr:cNvPr id="1869397" name="Freeform 28">
          <a:extLst>
            <a:ext uri="{FF2B5EF4-FFF2-40B4-BE49-F238E27FC236}">
              <a16:creationId xmlns:a16="http://schemas.microsoft.com/office/drawing/2014/main" id="{D7036C82-0137-4AEB-875E-2F83F7EEC1CD}"/>
            </a:ext>
          </a:extLst>
        </xdr:cNvPr>
        <xdr:cNvSpPr>
          <a:spLocks/>
        </xdr:cNvSpPr>
      </xdr:nvSpPr>
      <xdr:spPr bwMode="gray">
        <a:xfrm>
          <a:off x="3438525" y="2476500"/>
          <a:ext cx="104775" cy="161925"/>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s-PE"/>
        </a:p>
      </xdr:txBody>
    </xdr:sp>
    <xdr:clientData/>
  </xdr:twoCellAnchor>
  <xdr:twoCellAnchor>
    <xdr:from>
      <xdr:col>5</xdr:col>
      <xdr:colOff>381000</xdr:colOff>
      <xdr:row>15</xdr:row>
      <xdr:rowOff>228600</xdr:rowOff>
    </xdr:from>
    <xdr:to>
      <xdr:col>6</xdr:col>
      <xdr:colOff>762000</xdr:colOff>
      <xdr:row>17</xdr:row>
      <xdr:rowOff>200025</xdr:rowOff>
    </xdr:to>
    <xdr:sp macro="" textlink="">
      <xdr:nvSpPr>
        <xdr:cNvPr id="4561575" name="AutoShape 26">
          <a:extLst>
            <a:ext uri="{FF2B5EF4-FFF2-40B4-BE49-F238E27FC236}">
              <a16:creationId xmlns:a16="http://schemas.microsoft.com/office/drawing/2014/main" id="{110407BA-C0AA-4D2C-9E48-65C51B28CDE7}"/>
            </a:ext>
          </a:extLst>
        </xdr:cNvPr>
        <xdr:cNvSpPr>
          <a:spLocks noChangeArrowheads="1"/>
        </xdr:cNvSpPr>
      </xdr:nvSpPr>
      <xdr:spPr bwMode="gray">
        <a:xfrm>
          <a:off x="3505200" y="3524250"/>
          <a:ext cx="1143000" cy="38100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clientData/>
  </xdr:twoCellAnchor>
  <xdr:twoCellAnchor>
    <xdr:from>
      <xdr:col>5</xdr:col>
      <xdr:colOff>410454</xdr:colOff>
      <xdr:row>16</xdr:row>
      <xdr:rowOff>3810</xdr:rowOff>
    </xdr:from>
    <xdr:to>
      <xdr:col>6</xdr:col>
      <xdr:colOff>741801</xdr:colOff>
      <xdr:row>17</xdr:row>
      <xdr:rowOff>166986</xdr:rowOff>
    </xdr:to>
    <xdr:sp macro="" textlink="">
      <xdr:nvSpPr>
        <xdr:cNvPr id="1869393" name="AutoShape 27">
          <a:hlinkClick xmlns:r="http://schemas.openxmlformats.org/officeDocument/2006/relationships" r:id="rId4"/>
          <a:extLst>
            <a:ext uri="{FF2B5EF4-FFF2-40B4-BE49-F238E27FC236}">
              <a16:creationId xmlns:a16="http://schemas.microsoft.com/office/drawing/2014/main" id="{5841D4D8-CED9-4D51-8946-1EEA8A990C90}"/>
            </a:ext>
          </a:extLst>
        </xdr:cNvPr>
        <xdr:cNvSpPr>
          <a:spLocks noChangeArrowheads="1"/>
        </xdr:cNvSpPr>
      </xdr:nvSpPr>
      <xdr:spPr bwMode="gray">
        <a:xfrm>
          <a:off x="3451713" y="3535973"/>
          <a:ext cx="1019175" cy="29527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27432" tIns="22860" rIns="27432" bIns="22860" anchor="ctr" upright="1"/>
        <a:lstStyle/>
        <a:p>
          <a:pPr algn="ctr" rtl="0">
            <a:defRPr sz="1000"/>
          </a:pPr>
          <a:r>
            <a:rPr lang="en-US" sz="1000" b="0" i="0" u="none" strike="noStrike" baseline="0">
              <a:solidFill>
                <a:srgbClr val="FFFFFF"/>
              </a:solidFill>
              <a:latin typeface="Arial"/>
              <a:cs typeface="Arial"/>
            </a:rPr>
            <a:t>Programáticos</a:t>
          </a:r>
        </a:p>
      </xdr:txBody>
    </xdr:sp>
    <xdr:clientData/>
  </xdr:twoCellAnchor>
  <xdr:twoCellAnchor>
    <xdr:from>
      <xdr:col>5</xdr:col>
      <xdr:colOff>445770</xdr:colOff>
      <xdr:row>16</xdr:row>
      <xdr:rowOff>38100</xdr:rowOff>
    </xdr:from>
    <xdr:to>
      <xdr:col>5</xdr:col>
      <xdr:colOff>587688</xdr:colOff>
      <xdr:row>17</xdr:row>
      <xdr:rowOff>0</xdr:rowOff>
    </xdr:to>
    <xdr:sp macro="" textlink="">
      <xdr:nvSpPr>
        <xdr:cNvPr id="1869394" name="Freeform 28">
          <a:extLst>
            <a:ext uri="{FF2B5EF4-FFF2-40B4-BE49-F238E27FC236}">
              <a16:creationId xmlns:a16="http://schemas.microsoft.com/office/drawing/2014/main" id="{70997E9C-109A-4C28-B450-937395B95D4C}"/>
            </a:ext>
          </a:extLst>
        </xdr:cNvPr>
        <xdr:cNvSpPr>
          <a:spLocks/>
        </xdr:cNvSpPr>
      </xdr:nvSpPr>
      <xdr:spPr bwMode="gray">
        <a:xfrm>
          <a:off x="3476625" y="3552825"/>
          <a:ext cx="114300" cy="161925"/>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s-PE"/>
        </a:p>
      </xdr:txBody>
    </xdr:sp>
    <xdr:clientData/>
  </xdr:twoCellAnchor>
  <xdr:twoCellAnchor>
    <xdr:from>
      <xdr:col>5</xdr:col>
      <xdr:colOff>371475</xdr:colOff>
      <xdr:row>13</xdr:row>
      <xdr:rowOff>9525</xdr:rowOff>
    </xdr:from>
    <xdr:to>
      <xdr:col>6</xdr:col>
      <xdr:colOff>742950</xdr:colOff>
      <xdr:row>15</xdr:row>
      <xdr:rowOff>0</xdr:rowOff>
    </xdr:to>
    <xdr:sp macro="" textlink="">
      <xdr:nvSpPr>
        <xdr:cNvPr id="4561578" name="AutoShape 26">
          <a:extLst>
            <a:ext uri="{FF2B5EF4-FFF2-40B4-BE49-F238E27FC236}">
              <a16:creationId xmlns:a16="http://schemas.microsoft.com/office/drawing/2014/main" id="{5ECD445D-C483-415E-B386-EF0AC9813F24}"/>
            </a:ext>
          </a:extLst>
        </xdr:cNvPr>
        <xdr:cNvSpPr>
          <a:spLocks noChangeArrowheads="1"/>
        </xdr:cNvSpPr>
      </xdr:nvSpPr>
      <xdr:spPr bwMode="gray">
        <a:xfrm>
          <a:off x="3495675" y="2962275"/>
          <a:ext cx="1133475" cy="371475"/>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clientData/>
  </xdr:twoCellAnchor>
  <xdr:twoCellAnchor>
    <xdr:from>
      <xdr:col>5</xdr:col>
      <xdr:colOff>390525</xdr:colOff>
      <xdr:row>13</xdr:row>
      <xdr:rowOff>68580</xdr:rowOff>
    </xdr:from>
    <xdr:to>
      <xdr:col>6</xdr:col>
      <xdr:colOff>723576</xdr:colOff>
      <xdr:row>15</xdr:row>
      <xdr:rowOff>2079</xdr:rowOff>
    </xdr:to>
    <xdr:sp macro="" textlink="">
      <xdr:nvSpPr>
        <xdr:cNvPr id="1869390" name="AutoShape 27">
          <a:hlinkClick xmlns:r="http://schemas.openxmlformats.org/officeDocument/2006/relationships" r:id="rId5"/>
          <a:extLst>
            <a:ext uri="{FF2B5EF4-FFF2-40B4-BE49-F238E27FC236}">
              <a16:creationId xmlns:a16="http://schemas.microsoft.com/office/drawing/2014/main" id="{C48ED19B-458F-45C6-995E-F9F6AFC01EE1}"/>
            </a:ext>
          </a:extLst>
        </xdr:cNvPr>
        <xdr:cNvSpPr>
          <a:spLocks noChangeArrowheads="1"/>
        </xdr:cNvSpPr>
      </xdr:nvSpPr>
      <xdr:spPr bwMode="gray">
        <a:xfrm>
          <a:off x="3438525" y="3000375"/>
          <a:ext cx="1019175" cy="29527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u="none" strike="noStrike" baseline="0">
              <a:solidFill>
                <a:srgbClr val="FFFFFF"/>
              </a:solidFill>
              <a:latin typeface="Arial"/>
              <a:cs typeface="Arial"/>
            </a:rPr>
            <a:t>Gestión</a:t>
          </a:r>
        </a:p>
      </xdr:txBody>
    </xdr:sp>
    <xdr:clientData/>
  </xdr:twoCellAnchor>
  <xdr:twoCellAnchor>
    <xdr:from>
      <xdr:col>5</xdr:col>
      <xdr:colOff>390525</xdr:colOff>
      <xdr:row>13</xdr:row>
      <xdr:rowOff>76200</xdr:rowOff>
    </xdr:from>
    <xdr:to>
      <xdr:col>5</xdr:col>
      <xdr:colOff>540580</xdr:colOff>
      <xdr:row>14</xdr:row>
      <xdr:rowOff>38100</xdr:rowOff>
    </xdr:to>
    <xdr:sp macro="" textlink="">
      <xdr:nvSpPr>
        <xdr:cNvPr id="1869391" name="Freeform 28">
          <a:extLst>
            <a:ext uri="{FF2B5EF4-FFF2-40B4-BE49-F238E27FC236}">
              <a16:creationId xmlns:a16="http://schemas.microsoft.com/office/drawing/2014/main" id="{C082A0D5-BDCD-4557-A51B-56793FD8D230}"/>
            </a:ext>
          </a:extLst>
        </xdr:cNvPr>
        <xdr:cNvSpPr>
          <a:spLocks/>
        </xdr:cNvSpPr>
      </xdr:nvSpPr>
      <xdr:spPr bwMode="gray">
        <a:xfrm>
          <a:off x="3438525" y="3009900"/>
          <a:ext cx="114300" cy="161925"/>
        </a:xfrm>
        <a:custGeom>
          <a:avLst/>
          <a:gdLst>
            <a:gd name="T0" fmla="*/ 73 w 596"/>
            <a:gd name="T1" fmla="*/ 0 h 598"/>
            <a:gd name="T2" fmla="*/ 0 w 596"/>
            <a:gd name="T3" fmla="*/ 66 h 598"/>
            <a:gd name="T4" fmla="*/ 0 w 596"/>
            <a:gd name="T5" fmla="*/ 332 h 598"/>
            <a:gd name="T6" fmla="*/ 100 w 596"/>
            <a:gd name="T7" fmla="*/ 98 h 598"/>
            <a:gd name="T8" fmla="*/ 366 w 596"/>
            <a:gd name="T9" fmla="*/ 0 h 598"/>
            <a:gd name="T10" fmla="*/ 73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s-PE"/>
        </a:p>
      </xdr:txBody>
    </xdr:sp>
    <xdr:clientData/>
  </xdr:twoCellAnchor>
  <xdr:twoCellAnchor>
    <xdr:from>
      <xdr:col>4</xdr:col>
      <xdr:colOff>403860</xdr:colOff>
      <xdr:row>5</xdr:row>
      <xdr:rowOff>0</xdr:rowOff>
    </xdr:from>
    <xdr:to>
      <xdr:col>7</xdr:col>
      <xdr:colOff>497211</xdr:colOff>
      <xdr:row>6</xdr:row>
      <xdr:rowOff>49736</xdr:rowOff>
    </xdr:to>
    <xdr:sp macro="" textlink="">
      <xdr:nvSpPr>
        <xdr:cNvPr id="4899" name="Rectangle 803">
          <a:extLst>
            <a:ext uri="{FF2B5EF4-FFF2-40B4-BE49-F238E27FC236}">
              <a16:creationId xmlns:a16="http://schemas.microsoft.com/office/drawing/2014/main" id="{41ABCDC9-6D33-4C3D-B382-EEBC7B93E104}"/>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0">
            <a:defRPr sz="1000"/>
          </a:pPr>
          <a:r>
            <a:rPr lang="en-US" sz="1100" b="1" i="1" u="none" strike="noStrike" baseline="0">
              <a:solidFill>
                <a:srgbClr val="000000"/>
              </a:solidFill>
              <a:latin typeface="Calibri"/>
            </a:rPr>
            <a:t>Seleccione la opción que desea ver:</a:t>
          </a:r>
        </a:p>
      </xdr:txBody>
    </xdr:sp>
    <xdr:clientData/>
  </xdr:twoCellAnchor>
  <xdr:twoCellAnchor>
    <xdr:from>
      <xdr:col>8</xdr:col>
      <xdr:colOff>371475</xdr:colOff>
      <xdr:row>11</xdr:row>
      <xdr:rowOff>0</xdr:rowOff>
    </xdr:from>
    <xdr:to>
      <xdr:col>11</xdr:col>
      <xdr:colOff>161925</xdr:colOff>
      <xdr:row>13</xdr:row>
      <xdr:rowOff>47625</xdr:rowOff>
    </xdr:to>
    <xdr:sp macro="" textlink="">
      <xdr:nvSpPr>
        <xdr:cNvPr id="4561582" name="AutoShape 30">
          <a:extLst>
            <a:ext uri="{FF2B5EF4-FFF2-40B4-BE49-F238E27FC236}">
              <a16:creationId xmlns:a16="http://schemas.microsoft.com/office/drawing/2014/main" id="{CE926471-60BA-4460-8AD9-0459B41962D6}"/>
            </a:ext>
          </a:extLst>
        </xdr:cNvPr>
        <xdr:cNvSpPr>
          <a:spLocks noChangeArrowheads="1"/>
        </xdr:cNvSpPr>
      </xdr:nvSpPr>
      <xdr:spPr bwMode="gray">
        <a:xfrm>
          <a:off x="5781675" y="2571750"/>
          <a:ext cx="1428750" cy="428625"/>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clientData/>
  </xdr:twoCellAnchor>
  <xdr:twoCellAnchor>
    <xdr:from>
      <xdr:col>8</xdr:col>
      <xdr:colOff>411480</xdr:colOff>
      <xdr:row>11</xdr:row>
      <xdr:rowOff>41910</xdr:rowOff>
    </xdr:from>
    <xdr:to>
      <xdr:col>11</xdr:col>
      <xdr:colOff>141042</xdr:colOff>
      <xdr:row>13</xdr:row>
      <xdr:rowOff>16</xdr:rowOff>
    </xdr:to>
    <xdr:sp macro="" textlink="">
      <xdr:nvSpPr>
        <xdr:cNvPr id="1869387" name="AutoShape 31">
          <a:hlinkClick xmlns:r="http://schemas.openxmlformats.org/officeDocument/2006/relationships" r:id="rId6"/>
          <a:extLst>
            <a:ext uri="{FF2B5EF4-FFF2-40B4-BE49-F238E27FC236}">
              <a16:creationId xmlns:a16="http://schemas.microsoft.com/office/drawing/2014/main" id="{2B542E98-22F6-4578-AFA9-DAB4875A6DC3}"/>
            </a:ext>
          </a:extLst>
        </xdr:cNvPr>
        <xdr:cNvSpPr>
          <a:spLocks noChangeArrowheads="1"/>
        </xdr:cNvSpPr>
      </xdr:nvSpPr>
      <xdr:spPr bwMode="gray">
        <a:xfrm>
          <a:off x="5743575" y="2619375"/>
          <a:ext cx="1409700" cy="333375"/>
        </a:xfrm>
        <a:prstGeom prst="roundRect">
          <a:avLst>
            <a:gd name="adj" fmla="val 11921"/>
          </a:avLst>
        </a:prstGeom>
        <a:solidFill>
          <a:srgbClr val="99FF99"/>
        </a:solidFill>
        <a:ln w="9525">
          <a:solidFill>
            <a:srgbClr val="FEFEFE"/>
          </a:solidFill>
          <a:round/>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Recomendaciones</a:t>
          </a:r>
        </a:p>
      </xdr:txBody>
    </xdr:sp>
    <xdr:clientData/>
  </xdr:twoCellAnchor>
  <xdr:twoCellAnchor>
    <xdr:from>
      <xdr:col>8</xdr:col>
      <xdr:colOff>447675</xdr:colOff>
      <xdr:row>11</xdr:row>
      <xdr:rowOff>76200</xdr:rowOff>
    </xdr:from>
    <xdr:to>
      <xdr:col>8</xdr:col>
      <xdr:colOff>619125</xdr:colOff>
      <xdr:row>12</xdr:row>
      <xdr:rowOff>57150</xdr:rowOff>
    </xdr:to>
    <xdr:sp macro="" textlink="">
      <xdr:nvSpPr>
        <xdr:cNvPr id="4561584" name="Freeform 32">
          <a:extLst>
            <a:ext uri="{FF2B5EF4-FFF2-40B4-BE49-F238E27FC236}">
              <a16:creationId xmlns:a16="http://schemas.microsoft.com/office/drawing/2014/main" id="{D5252405-6759-4B86-AA5D-BE80CB08B901}"/>
            </a:ext>
          </a:extLst>
        </xdr:cNvPr>
        <xdr:cNvSpPr>
          <a:spLocks/>
        </xdr:cNvSpPr>
      </xdr:nvSpPr>
      <xdr:spPr bwMode="gray">
        <a:xfrm>
          <a:off x="5857875" y="2647950"/>
          <a:ext cx="171450" cy="17145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304800</xdr:colOff>
      <xdr:row>7</xdr:row>
      <xdr:rowOff>104775</xdr:rowOff>
    </xdr:from>
    <xdr:to>
      <xdr:col>4</xdr:col>
      <xdr:colOff>133350</xdr:colOff>
      <xdr:row>18</xdr:row>
      <xdr:rowOff>142875</xdr:rowOff>
    </xdr:to>
    <xdr:sp macro="" textlink="">
      <xdr:nvSpPr>
        <xdr:cNvPr id="4561585" name="AutoShape 31">
          <a:extLst>
            <a:ext uri="{FF2B5EF4-FFF2-40B4-BE49-F238E27FC236}">
              <a16:creationId xmlns:a16="http://schemas.microsoft.com/office/drawing/2014/main" id="{29FC8E28-8155-4DF2-9987-38FDF19BA12C}"/>
            </a:ext>
          </a:extLst>
        </xdr:cNvPr>
        <xdr:cNvSpPr>
          <a:spLocks noChangeArrowheads="1"/>
        </xdr:cNvSpPr>
      </xdr:nvSpPr>
      <xdr:spPr bwMode="gray">
        <a:xfrm>
          <a:off x="381000" y="1914525"/>
          <a:ext cx="2114550" cy="2133600"/>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clientData/>
  </xdr:twoCellAnchor>
  <xdr:twoCellAnchor>
    <xdr:from>
      <xdr:col>1</xdr:col>
      <xdr:colOff>428625</xdr:colOff>
      <xdr:row>8</xdr:row>
      <xdr:rowOff>0</xdr:rowOff>
    </xdr:from>
    <xdr:to>
      <xdr:col>2</xdr:col>
      <xdr:colOff>82275</xdr:colOff>
      <xdr:row>9</xdr:row>
      <xdr:rowOff>127959</xdr:rowOff>
    </xdr:to>
    <xdr:sp macro="" textlink="">
      <xdr:nvSpPr>
        <xdr:cNvPr id="1869384" name="Freeform 32">
          <a:extLst>
            <a:ext uri="{FF2B5EF4-FFF2-40B4-BE49-F238E27FC236}">
              <a16:creationId xmlns:a16="http://schemas.microsoft.com/office/drawing/2014/main" id="{68A48C3B-58DC-43BF-8C83-A593DD89DE62}"/>
            </a:ext>
          </a:extLst>
        </xdr:cNvPr>
        <xdr:cNvSpPr>
          <a:spLocks/>
        </xdr:cNvSpPr>
      </xdr:nvSpPr>
      <xdr:spPr bwMode="gray">
        <a:xfrm>
          <a:off x="419100" y="1981200"/>
          <a:ext cx="476250" cy="314325"/>
        </a:xfrm>
        <a:custGeom>
          <a:avLst/>
          <a:gdLst>
            <a:gd name="T0" fmla="*/ 10 w 596"/>
            <a:gd name="T1" fmla="*/ 0 h 598"/>
            <a:gd name="T2" fmla="*/ 0 w 596"/>
            <a:gd name="T3" fmla="*/ 7 h 598"/>
            <a:gd name="T4" fmla="*/ 0 w 596"/>
            <a:gd name="T5" fmla="*/ 33 h 598"/>
            <a:gd name="T6" fmla="*/ 14 w 596"/>
            <a:gd name="T7" fmla="*/ 10 h 598"/>
            <a:gd name="T8" fmla="*/ 49 w 596"/>
            <a:gd name="T9" fmla="*/ 0 h 598"/>
            <a:gd name="T10" fmla="*/ 1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s-PE"/>
        </a:p>
      </xdr:txBody>
    </xdr:sp>
    <xdr:clientData/>
  </xdr:twoCellAnchor>
  <xdr:twoCellAnchor>
    <xdr:from>
      <xdr:col>8</xdr:col>
      <xdr:colOff>361950</xdr:colOff>
      <xdr:row>14</xdr:row>
      <xdr:rowOff>66675</xdr:rowOff>
    </xdr:from>
    <xdr:to>
      <xdr:col>11</xdr:col>
      <xdr:colOff>161925</xdr:colOff>
      <xdr:row>16</xdr:row>
      <xdr:rowOff>95250</xdr:rowOff>
    </xdr:to>
    <xdr:sp macro="" textlink="">
      <xdr:nvSpPr>
        <xdr:cNvPr id="4561587" name="AutoShape 30">
          <a:extLst>
            <a:ext uri="{FF2B5EF4-FFF2-40B4-BE49-F238E27FC236}">
              <a16:creationId xmlns:a16="http://schemas.microsoft.com/office/drawing/2014/main" id="{E33348F9-F164-4497-9FE4-897A146A192F}"/>
            </a:ext>
          </a:extLst>
        </xdr:cNvPr>
        <xdr:cNvSpPr>
          <a:spLocks noChangeArrowheads="1"/>
        </xdr:cNvSpPr>
      </xdr:nvSpPr>
      <xdr:spPr bwMode="gray">
        <a:xfrm>
          <a:off x="5772150" y="3209925"/>
          <a:ext cx="1438275" cy="409575"/>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clientData/>
  </xdr:twoCellAnchor>
  <xdr:twoCellAnchor>
    <xdr:from>
      <xdr:col>8</xdr:col>
      <xdr:colOff>390525</xdr:colOff>
      <xdr:row>14</xdr:row>
      <xdr:rowOff>127635</xdr:rowOff>
    </xdr:from>
    <xdr:to>
      <xdr:col>11</xdr:col>
      <xdr:colOff>112638</xdr:colOff>
      <xdr:row>16</xdr:row>
      <xdr:rowOff>52229</xdr:rowOff>
    </xdr:to>
    <xdr:sp macro="" textlink="">
      <xdr:nvSpPr>
        <xdr:cNvPr id="1869381" name="AutoShape 31">
          <a:hlinkClick xmlns:r="http://schemas.openxmlformats.org/officeDocument/2006/relationships" r:id="rId7"/>
          <a:extLst>
            <a:ext uri="{FF2B5EF4-FFF2-40B4-BE49-F238E27FC236}">
              <a16:creationId xmlns:a16="http://schemas.microsoft.com/office/drawing/2014/main" id="{B299E530-1388-4A29-838F-297774A603ED}"/>
            </a:ext>
          </a:extLst>
        </xdr:cNvPr>
        <xdr:cNvSpPr>
          <a:spLocks noChangeArrowheads="1"/>
        </xdr:cNvSpPr>
      </xdr:nvSpPr>
      <xdr:spPr bwMode="gray">
        <a:xfrm>
          <a:off x="5724525" y="3248025"/>
          <a:ext cx="1409700" cy="333375"/>
        </a:xfrm>
        <a:prstGeom prst="roundRect">
          <a:avLst>
            <a:gd name="adj" fmla="val 11921"/>
          </a:avLst>
        </a:prstGeom>
        <a:solidFill>
          <a:srgbClr val="99FF99"/>
        </a:solidFill>
        <a:ln w="9525">
          <a:solidFill>
            <a:srgbClr val="FEFEFE"/>
          </a:solidFill>
          <a:round/>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Acciones</a:t>
          </a:r>
        </a:p>
      </xdr:txBody>
    </xdr:sp>
    <xdr:clientData/>
  </xdr:twoCellAnchor>
  <xdr:twoCellAnchor>
    <xdr:from>
      <xdr:col>8</xdr:col>
      <xdr:colOff>419100</xdr:colOff>
      <xdr:row>14</xdr:row>
      <xdr:rowOff>161925</xdr:rowOff>
    </xdr:from>
    <xdr:to>
      <xdr:col>8</xdr:col>
      <xdr:colOff>590550</xdr:colOff>
      <xdr:row>15</xdr:row>
      <xdr:rowOff>133350</xdr:rowOff>
    </xdr:to>
    <xdr:sp macro="" textlink="">
      <xdr:nvSpPr>
        <xdr:cNvPr id="4561589" name="Freeform 32">
          <a:extLst>
            <a:ext uri="{FF2B5EF4-FFF2-40B4-BE49-F238E27FC236}">
              <a16:creationId xmlns:a16="http://schemas.microsoft.com/office/drawing/2014/main" id="{AA0B714A-B513-4FF4-9465-2D5AD024FB32}"/>
            </a:ext>
          </a:extLst>
        </xdr:cNvPr>
        <xdr:cNvSpPr>
          <a:spLocks/>
        </xdr:cNvSpPr>
      </xdr:nvSpPr>
      <xdr:spPr bwMode="gray">
        <a:xfrm>
          <a:off x="5829300" y="3305175"/>
          <a:ext cx="171450" cy="161925"/>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647700</xdr:colOff>
      <xdr:row>15</xdr:row>
      <xdr:rowOff>180975</xdr:rowOff>
    </xdr:from>
    <xdr:to>
      <xdr:col>3</xdr:col>
      <xdr:colOff>619125</xdr:colOff>
      <xdr:row>18</xdr:row>
      <xdr:rowOff>28575</xdr:rowOff>
    </xdr:to>
    <xdr:sp macro="" textlink="">
      <xdr:nvSpPr>
        <xdr:cNvPr id="4561590" name="AutoShape 30">
          <a:extLst>
            <a:ext uri="{FF2B5EF4-FFF2-40B4-BE49-F238E27FC236}">
              <a16:creationId xmlns:a16="http://schemas.microsoft.com/office/drawing/2014/main" id="{FD7CD819-C4B7-4905-899D-38FF6E170AFD}"/>
            </a:ext>
          </a:extLst>
        </xdr:cNvPr>
        <xdr:cNvSpPr>
          <a:spLocks noChangeArrowheads="1"/>
        </xdr:cNvSpPr>
      </xdr:nvSpPr>
      <xdr:spPr bwMode="gray">
        <a:xfrm>
          <a:off x="723900" y="3514725"/>
          <a:ext cx="1495425" cy="41910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clientData/>
  </xdr:twoCellAnchor>
  <xdr:twoCellAnchor>
    <xdr:from>
      <xdr:col>1</xdr:col>
      <xdr:colOff>699135</xdr:colOff>
      <xdr:row>16</xdr:row>
      <xdr:rowOff>2770</xdr:rowOff>
    </xdr:from>
    <xdr:to>
      <xdr:col>3</xdr:col>
      <xdr:colOff>574302</xdr:colOff>
      <xdr:row>18</xdr:row>
      <xdr:rowOff>4131</xdr:rowOff>
    </xdr:to>
    <xdr:sp macro="" textlink="">
      <xdr:nvSpPr>
        <xdr:cNvPr id="1869377" name="AutoShape 31">
          <a:hlinkClick xmlns:r="http://schemas.openxmlformats.org/officeDocument/2006/relationships" r:id="rId8"/>
          <a:extLst>
            <a:ext uri="{FF2B5EF4-FFF2-40B4-BE49-F238E27FC236}">
              <a16:creationId xmlns:a16="http://schemas.microsoft.com/office/drawing/2014/main" id="{9AB6B962-7C30-42DB-9610-813846E48A23}"/>
            </a:ext>
          </a:extLst>
        </xdr:cNvPr>
        <xdr:cNvSpPr>
          <a:spLocks noChangeArrowheads="1"/>
        </xdr:cNvSpPr>
      </xdr:nvSpPr>
      <xdr:spPr bwMode="gray">
        <a:xfrm>
          <a:off x="625719" y="3497872"/>
          <a:ext cx="1425819" cy="392723"/>
        </a:xfrm>
        <a:prstGeom prst="roundRect">
          <a:avLst>
            <a:gd name="adj" fmla="val 11921"/>
          </a:avLst>
        </a:prstGeom>
        <a:gradFill rotWithShape="1">
          <a:gsLst>
            <a:gs pos="0">
              <a:srgbClr val="4F81BD"/>
            </a:gs>
            <a:gs pos="100000">
              <a:srgbClr val="375A84"/>
            </a:gs>
          </a:gsLst>
          <a:lin ang="5400000" scaled="1"/>
        </a:gradFill>
        <a:ln w="9525">
          <a:solidFill>
            <a:srgbClr val="FEFEFE"/>
          </a:solidFill>
          <a:round/>
          <a:headEnd/>
          <a:tailEnd/>
        </a:ln>
      </xdr:spPr>
      <xdr:txBody>
        <a:bodyPr vertOverflow="clip" wrap="square" lIns="27432" tIns="22860" rIns="27432" bIns="22860" anchor="ctr" upright="1"/>
        <a:lstStyle/>
        <a:p>
          <a:pPr algn="ctr" rtl="0">
            <a:defRPr sz="1000"/>
          </a:pPr>
          <a:r>
            <a:rPr lang="en-US" sz="1000" b="0" i="0" u="none" strike="noStrike" baseline="0">
              <a:solidFill>
                <a:srgbClr val="FFFFFF"/>
              </a:solidFill>
              <a:latin typeface="Arial"/>
              <a:cs typeface="Arial"/>
            </a:rPr>
            <a:t>Información de la subvención</a:t>
          </a:r>
        </a:p>
      </xdr:txBody>
    </xdr:sp>
    <xdr:clientData/>
  </xdr:twoCellAnchor>
  <xdr:twoCellAnchor>
    <xdr:from>
      <xdr:col>1</xdr:col>
      <xdr:colOff>718185</xdr:colOff>
      <xdr:row>16</xdr:row>
      <xdr:rowOff>0</xdr:rowOff>
    </xdr:from>
    <xdr:to>
      <xdr:col>1</xdr:col>
      <xdr:colOff>744379</xdr:colOff>
      <xdr:row>16</xdr:row>
      <xdr:rowOff>158491</xdr:rowOff>
    </xdr:to>
    <xdr:sp macro="" textlink="">
      <xdr:nvSpPr>
        <xdr:cNvPr id="1869378" name="Freeform 32">
          <a:extLst>
            <a:ext uri="{FF2B5EF4-FFF2-40B4-BE49-F238E27FC236}">
              <a16:creationId xmlns:a16="http://schemas.microsoft.com/office/drawing/2014/main" id="{2D4B3622-21BF-471D-BE13-9D5AE06508B2}"/>
            </a:ext>
          </a:extLst>
        </xdr:cNvPr>
        <xdr:cNvSpPr>
          <a:spLocks/>
        </xdr:cNvSpPr>
      </xdr:nvSpPr>
      <xdr:spPr bwMode="gray">
        <a:xfrm>
          <a:off x="647700" y="3524250"/>
          <a:ext cx="142875" cy="133350"/>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s-PE"/>
        </a:p>
      </xdr:txBody>
    </xdr:sp>
    <xdr:clientData/>
  </xdr:twoCellAnchor>
  <xdr:twoCellAnchor>
    <xdr:from>
      <xdr:col>1</xdr:col>
      <xdr:colOff>647700</xdr:colOff>
      <xdr:row>10</xdr:row>
      <xdr:rowOff>47625</xdr:rowOff>
    </xdr:from>
    <xdr:to>
      <xdr:col>3</xdr:col>
      <xdr:colOff>619125</xdr:colOff>
      <xdr:row>12</xdr:row>
      <xdr:rowOff>19050</xdr:rowOff>
    </xdr:to>
    <xdr:sp macro="" textlink="">
      <xdr:nvSpPr>
        <xdr:cNvPr id="4561593" name="AutoShape 30">
          <a:extLst>
            <a:ext uri="{FF2B5EF4-FFF2-40B4-BE49-F238E27FC236}">
              <a16:creationId xmlns:a16="http://schemas.microsoft.com/office/drawing/2014/main" id="{B2684AFE-0C81-443E-AA5E-D46679EA365D}"/>
            </a:ext>
          </a:extLst>
        </xdr:cNvPr>
        <xdr:cNvSpPr>
          <a:spLocks noChangeArrowheads="1"/>
        </xdr:cNvSpPr>
      </xdr:nvSpPr>
      <xdr:spPr bwMode="gray">
        <a:xfrm>
          <a:off x="723900" y="2428875"/>
          <a:ext cx="1495425" cy="352425"/>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clientData/>
  </xdr:twoCellAnchor>
  <xdr:twoCellAnchor>
    <xdr:from>
      <xdr:col>1</xdr:col>
      <xdr:colOff>699135</xdr:colOff>
      <xdr:row>10</xdr:row>
      <xdr:rowOff>85725</xdr:rowOff>
    </xdr:from>
    <xdr:to>
      <xdr:col>3</xdr:col>
      <xdr:colOff>579082</xdr:colOff>
      <xdr:row>12</xdr:row>
      <xdr:rowOff>1976</xdr:rowOff>
    </xdr:to>
    <xdr:sp macro="" textlink="">
      <xdr:nvSpPr>
        <xdr:cNvPr id="1869373" name="AutoShape 31">
          <a:hlinkClick xmlns:r="http://schemas.openxmlformats.org/officeDocument/2006/relationships" r:id="rId9"/>
          <a:extLst>
            <a:ext uri="{FF2B5EF4-FFF2-40B4-BE49-F238E27FC236}">
              <a16:creationId xmlns:a16="http://schemas.microsoft.com/office/drawing/2014/main" id="{8D3C130E-53C4-4E52-AD05-540E86BAD0D1}"/>
            </a:ext>
          </a:extLst>
        </xdr:cNvPr>
        <xdr:cNvSpPr>
          <a:spLocks noChangeArrowheads="1"/>
        </xdr:cNvSpPr>
      </xdr:nvSpPr>
      <xdr:spPr bwMode="gray">
        <a:xfrm>
          <a:off x="628650" y="2447925"/>
          <a:ext cx="1438275" cy="304800"/>
        </a:xfrm>
        <a:prstGeom prst="roundRect">
          <a:avLst>
            <a:gd name="adj" fmla="val 11921"/>
          </a:avLst>
        </a:prstGeom>
        <a:gradFill rotWithShape="1">
          <a:gsLst>
            <a:gs pos="0">
              <a:srgbClr val="4F81BD"/>
            </a:gs>
            <a:gs pos="100000">
              <a:srgbClr val="375A84"/>
            </a:gs>
          </a:gsLst>
          <a:lin ang="5400000" scaled="1"/>
        </a:gradFill>
        <a:ln w="9525">
          <a:solidFill>
            <a:srgbClr val="FEFEFE"/>
          </a:solidFill>
          <a:round/>
          <a:headEnd/>
          <a:tailEnd/>
        </a:ln>
      </xdr:spPr>
      <xdr:txBody>
        <a:bodyPr vertOverflow="clip" wrap="square" lIns="27432" tIns="22860" rIns="27432" bIns="22860" anchor="ctr" upright="1"/>
        <a:lstStyle/>
        <a:p>
          <a:pPr algn="ctr" rtl="0">
            <a:defRPr sz="1000"/>
          </a:pPr>
          <a:r>
            <a:rPr lang="en-US" sz="1000" b="0" i="0" u="none" strike="noStrike" baseline="0">
              <a:solidFill>
                <a:srgbClr val="FFFFFF"/>
              </a:solidFill>
              <a:latin typeface="Arial"/>
              <a:cs typeface="Arial"/>
            </a:rPr>
            <a:t>Lista de indicadores</a:t>
          </a:r>
        </a:p>
      </xdr:txBody>
    </xdr:sp>
    <xdr:clientData/>
  </xdr:twoCellAnchor>
  <xdr:twoCellAnchor>
    <xdr:from>
      <xdr:col>1</xdr:col>
      <xdr:colOff>718185</xdr:colOff>
      <xdr:row>10</xdr:row>
      <xdr:rowOff>116205</xdr:rowOff>
    </xdr:from>
    <xdr:to>
      <xdr:col>2</xdr:col>
      <xdr:colOff>11663</xdr:colOff>
      <xdr:row>11</xdr:row>
      <xdr:rowOff>45111</xdr:rowOff>
    </xdr:to>
    <xdr:sp macro="" textlink="">
      <xdr:nvSpPr>
        <xdr:cNvPr id="1869374" name="Freeform 32">
          <a:extLst>
            <a:ext uri="{FF2B5EF4-FFF2-40B4-BE49-F238E27FC236}">
              <a16:creationId xmlns:a16="http://schemas.microsoft.com/office/drawing/2014/main" id="{70D793EE-FF0D-4C2F-A1AB-B9FB2C407674}"/>
            </a:ext>
          </a:extLst>
        </xdr:cNvPr>
        <xdr:cNvSpPr>
          <a:spLocks/>
        </xdr:cNvSpPr>
      </xdr:nvSpPr>
      <xdr:spPr bwMode="gray">
        <a:xfrm>
          <a:off x="647700" y="2466975"/>
          <a:ext cx="142875" cy="161925"/>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s-PE"/>
        </a:p>
      </xdr:txBody>
    </xdr:sp>
    <xdr:clientData/>
  </xdr:twoCellAnchor>
  <xdr:twoCellAnchor>
    <xdr:from>
      <xdr:col>1</xdr:col>
      <xdr:colOff>647700</xdr:colOff>
      <xdr:row>12</xdr:row>
      <xdr:rowOff>228600</xdr:rowOff>
    </xdr:from>
    <xdr:to>
      <xdr:col>3</xdr:col>
      <xdr:colOff>619125</xdr:colOff>
      <xdr:row>14</xdr:row>
      <xdr:rowOff>219075</xdr:rowOff>
    </xdr:to>
    <xdr:sp macro="" textlink="">
      <xdr:nvSpPr>
        <xdr:cNvPr id="4561596" name="AutoShape 30">
          <a:extLst>
            <a:ext uri="{FF2B5EF4-FFF2-40B4-BE49-F238E27FC236}">
              <a16:creationId xmlns:a16="http://schemas.microsoft.com/office/drawing/2014/main" id="{7AE00659-F315-494B-BDC9-9F3336BFE647}"/>
            </a:ext>
          </a:extLst>
        </xdr:cNvPr>
        <xdr:cNvSpPr>
          <a:spLocks noChangeArrowheads="1"/>
        </xdr:cNvSpPr>
      </xdr:nvSpPr>
      <xdr:spPr bwMode="gray">
        <a:xfrm>
          <a:off x="723900" y="2952750"/>
          <a:ext cx="1495425" cy="38100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clientData/>
  </xdr:twoCellAnchor>
  <xdr:twoCellAnchor>
    <xdr:from>
      <xdr:col>1</xdr:col>
      <xdr:colOff>699135</xdr:colOff>
      <xdr:row>13</xdr:row>
      <xdr:rowOff>38100</xdr:rowOff>
    </xdr:from>
    <xdr:to>
      <xdr:col>3</xdr:col>
      <xdr:colOff>579082</xdr:colOff>
      <xdr:row>14</xdr:row>
      <xdr:rowOff>187602</xdr:rowOff>
    </xdr:to>
    <xdr:sp macro="" textlink="">
      <xdr:nvSpPr>
        <xdr:cNvPr id="1869369" name="AutoShape 31">
          <a:hlinkClick xmlns:r="http://schemas.openxmlformats.org/officeDocument/2006/relationships" r:id="rId10"/>
          <a:extLst>
            <a:ext uri="{FF2B5EF4-FFF2-40B4-BE49-F238E27FC236}">
              <a16:creationId xmlns:a16="http://schemas.microsoft.com/office/drawing/2014/main" id="{B42229A5-61D0-4BAB-9F99-53978EAC0651}"/>
            </a:ext>
          </a:extLst>
        </xdr:cNvPr>
        <xdr:cNvSpPr>
          <a:spLocks noChangeArrowheads="1"/>
        </xdr:cNvSpPr>
      </xdr:nvSpPr>
      <xdr:spPr bwMode="gray">
        <a:xfrm>
          <a:off x="628650" y="2981325"/>
          <a:ext cx="1438275" cy="304800"/>
        </a:xfrm>
        <a:prstGeom prst="roundRect">
          <a:avLst>
            <a:gd name="adj" fmla="val 11921"/>
          </a:avLst>
        </a:prstGeom>
        <a:gradFill rotWithShape="1">
          <a:gsLst>
            <a:gs pos="0">
              <a:srgbClr val="4F81BD"/>
            </a:gs>
            <a:gs pos="100000">
              <a:srgbClr val="375A84"/>
            </a:gs>
          </a:gsLst>
          <a:lin ang="5400000" scaled="1"/>
        </a:gradFill>
        <a:ln w="9525">
          <a:solidFill>
            <a:srgbClr val="FEFEFE"/>
          </a:solidFill>
          <a:round/>
          <a:headEnd/>
          <a:tailEnd/>
        </a:ln>
      </xdr:spPr>
      <xdr:txBody>
        <a:bodyPr vertOverflow="clip" wrap="square" lIns="27432" tIns="22860" rIns="27432" bIns="22860" anchor="ctr" upright="1"/>
        <a:lstStyle/>
        <a:p>
          <a:pPr algn="ctr" rtl="0">
            <a:defRPr sz="1000"/>
          </a:pPr>
          <a:r>
            <a:rPr lang="en-US" sz="1000" b="0" i="0" u="none" strike="noStrike" baseline="0">
              <a:solidFill>
                <a:srgbClr val="FFFFFF"/>
              </a:solidFill>
              <a:latin typeface="Arial"/>
              <a:cs typeface="Arial"/>
            </a:rPr>
            <a:t>Introducción de datos</a:t>
          </a:r>
        </a:p>
      </xdr:txBody>
    </xdr:sp>
    <xdr:clientData/>
  </xdr:twoCellAnchor>
  <xdr:twoCellAnchor>
    <xdr:from>
      <xdr:col>1</xdr:col>
      <xdr:colOff>718185</xdr:colOff>
      <xdr:row>13</xdr:row>
      <xdr:rowOff>68580</xdr:rowOff>
    </xdr:from>
    <xdr:to>
      <xdr:col>2</xdr:col>
      <xdr:colOff>11663</xdr:colOff>
      <xdr:row>14</xdr:row>
      <xdr:rowOff>13035</xdr:rowOff>
    </xdr:to>
    <xdr:sp macro="" textlink="">
      <xdr:nvSpPr>
        <xdr:cNvPr id="1869370" name="Freeform 32">
          <a:extLst>
            <a:ext uri="{FF2B5EF4-FFF2-40B4-BE49-F238E27FC236}">
              <a16:creationId xmlns:a16="http://schemas.microsoft.com/office/drawing/2014/main" id="{A3F0057D-302D-4CBA-9EC0-34A59C4ADAD1}"/>
            </a:ext>
          </a:extLst>
        </xdr:cNvPr>
        <xdr:cNvSpPr>
          <a:spLocks/>
        </xdr:cNvSpPr>
      </xdr:nvSpPr>
      <xdr:spPr bwMode="gray">
        <a:xfrm>
          <a:off x="647700" y="3000375"/>
          <a:ext cx="142875" cy="161925"/>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s-PE"/>
        </a:p>
      </xdr:txBody>
    </xdr:sp>
    <xdr:clientData/>
  </xdr:twoCellAnchor>
  <xdr:twoCellAnchor editAs="oneCell">
    <xdr:from>
      <xdr:col>1</xdr:col>
      <xdr:colOff>323850</xdr:colOff>
      <xdr:row>7</xdr:row>
      <xdr:rowOff>76200</xdr:rowOff>
    </xdr:from>
    <xdr:to>
      <xdr:col>4</xdr:col>
      <xdr:colOff>133350</xdr:colOff>
      <xdr:row>9</xdr:row>
      <xdr:rowOff>171450</xdr:rowOff>
    </xdr:to>
    <xdr:pic>
      <xdr:nvPicPr>
        <xdr:cNvPr id="4561599" name="Picture 2012">
          <a:extLst>
            <a:ext uri="{FF2B5EF4-FFF2-40B4-BE49-F238E27FC236}">
              <a16:creationId xmlns:a16="http://schemas.microsoft.com/office/drawing/2014/main" id="{BF38E6CC-B8E7-4129-90C8-1D9D1FF3B2D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00050" y="1885950"/>
          <a:ext cx="2095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403860</xdr:colOff>
      <xdr:row>7</xdr:row>
      <xdr:rowOff>154305</xdr:rowOff>
    </xdr:from>
    <xdr:to>
      <xdr:col>4</xdr:col>
      <xdr:colOff>66580</xdr:colOff>
      <xdr:row>10</xdr:row>
      <xdr:rowOff>89</xdr:rowOff>
    </xdr:to>
    <xdr:sp macro="" textlink="">
      <xdr:nvSpPr>
        <xdr:cNvPr id="1869362" name="Text Box 2013">
          <a:extLst>
            <a:ext uri="{FF2B5EF4-FFF2-40B4-BE49-F238E27FC236}">
              <a16:creationId xmlns:a16="http://schemas.microsoft.com/office/drawing/2014/main" id="{C3D31D55-22C3-47FC-B806-1A5AADCCB67A}"/>
            </a:ext>
          </a:extLst>
        </xdr:cNvPr>
        <xdr:cNvSpPr txBox="1">
          <a:spLocks noChangeArrowheads="1"/>
        </xdr:cNvSpPr>
      </xdr:nvSpPr>
      <xdr:spPr bwMode="auto">
        <a:xfrm>
          <a:off x="400050" y="1914525"/>
          <a:ext cx="2019300" cy="4667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100" b="0" i="0" u="none" strike="noStrike" baseline="0">
              <a:solidFill>
                <a:srgbClr val="000000"/>
              </a:solidFill>
              <a:latin typeface="Arial"/>
              <a:cs typeface="Arial"/>
            </a:rPr>
            <a:t>Información de la subvención</a:t>
          </a:r>
          <a:endParaRPr lang="en-US" sz="1800" b="0" i="0" u="none" strike="noStrike" baseline="0">
            <a:solidFill>
              <a:srgbClr val="000000"/>
            </a:solidFill>
            <a:latin typeface="Arial"/>
            <a:cs typeface="Arial"/>
          </a:endParaRPr>
        </a:p>
        <a:p>
          <a:pPr algn="ctr" rtl="0">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304800</xdr:colOff>
      <xdr:row>7</xdr:row>
      <xdr:rowOff>76200</xdr:rowOff>
    </xdr:from>
    <xdr:to>
      <xdr:col>7</xdr:col>
      <xdr:colOff>704850</xdr:colOff>
      <xdr:row>9</xdr:row>
      <xdr:rowOff>171450</xdr:rowOff>
    </xdr:to>
    <xdr:pic>
      <xdr:nvPicPr>
        <xdr:cNvPr id="4561601" name="Picture 2016">
          <a:extLst>
            <a:ext uri="{FF2B5EF4-FFF2-40B4-BE49-F238E27FC236}">
              <a16:creationId xmlns:a16="http://schemas.microsoft.com/office/drawing/2014/main" id="{AF989301-2EBC-4860-83F8-103134897E7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67000" y="1885950"/>
          <a:ext cx="2686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739140</xdr:colOff>
      <xdr:row>7</xdr:row>
      <xdr:rowOff>152400</xdr:rowOff>
    </xdr:from>
    <xdr:to>
      <xdr:col>7</xdr:col>
      <xdr:colOff>365794</xdr:colOff>
      <xdr:row>9</xdr:row>
      <xdr:rowOff>128061</xdr:rowOff>
    </xdr:to>
    <xdr:sp macro="" textlink="">
      <xdr:nvSpPr>
        <xdr:cNvPr id="955361" name="Text Box 2017">
          <a:extLst>
            <a:ext uri="{FF2B5EF4-FFF2-40B4-BE49-F238E27FC236}">
              <a16:creationId xmlns:a16="http://schemas.microsoft.com/office/drawing/2014/main" id="{06ECA7D1-4E9F-40D3-BB15-6483568A49E8}"/>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a:cs typeface="Arial"/>
            </a:rPr>
            <a:t>Indicadores</a:t>
          </a:r>
          <a:endParaRPr lang="en-US" sz="1800" b="0" i="0" u="none" strike="noStrike" baseline="0">
            <a:solidFill>
              <a:srgbClr val="000000"/>
            </a:solidFill>
            <a:latin typeface="Arial"/>
            <a:cs typeface="Arial"/>
          </a:endParaRPr>
        </a:p>
        <a:p>
          <a:pPr algn="ctr" rtl="0">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923925</xdr:colOff>
      <xdr:row>7</xdr:row>
      <xdr:rowOff>95250</xdr:rowOff>
    </xdr:from>
    <xdr:to>
      <xdr:col>11</xdr:col>
      <xdr:colOff>504825</xdr:colOff>
      <xdr:row>9</xdr:row>
      <xdr:rowOff>171450</xdr:rowOff>
    </xdr:to>
    <xdr:pic>
      <xdr:nvPicPr>
        <xdr:cNvPr id="4561603" name="Picture 2018">
          <a:extLst>
            <a:ext uri="{FF2B5EF4-FFF2-40B4-BE49-F238E27FC236}">
              <a16:creationId xmlns:a16="http://schemas.microsoft.com/office/drawing/2014/main" id="{FA2629EC-A9EB-4D97-A53E-2ABE09750D96}"/>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410200" y="1905000"/>
          <a:ext cx="21431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66675</xdr:colOff>
      <xdr:row>7</xdr:row>
      <xdr:rowOff>152400</xdr:rowOff>
    </xdr:from>
    <xdr:to>
      <xdr:col>11</xdr:col>
      <xdr:colOff>438479</xdr:colOff>
      <xdr:row>9</xdr:row>
      <xdr:rowOff>128061</xdr:rowOff>
    </xdr:to>
    <xdr:sp macro="" textlink="">
      <xdr:nvSpPr>
        <xdr:cNvPr id="955363" name="Text Box 2019">
          <a:extLst>
            <a:ext uri="{FF2B5EF4-FFF2-40B4-BE49-F238E27FC236}">
              <a16:creationId xmlns:a16="http://schemas.microsoft.com/office/drawing/2014/main" id="{3614B2EE-B355-49F1-9CBE-4C40435E6CAB}"/>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a:cs typeface="Arial"/>
            </a:rPr>
            <a:t>Informes</a:t>
          </a:r>
          <a:endParaRPr lang="en-US" sz="1800" b="0" i="0" u="none" strike="noStrike" baseline="0">
            <a:solidFill>
              <a:srgbClr val="000000"/>
            </a:solidFill>
            <a:latin typeface="Arial"/>
            <a:cs typeface="Arial"/>
          </a:endParaRPr>
        </a:p>
        <a:p>
          <a:pPr algn="ctr" rtl="0">
            <a:defRPr sz="1000"/>
          </a:pPr>
          <a:endParaRPr lang="en-US" sz="1800" b="0" i="0" u="none" strike="noStrike" baseline="0">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180975</xdr:colOff>
      <xdr:row>1</xdr:row>
      <xdr:rowOff>85725</xdr:rowOff>
    </xdr:from>
    <xdr:to>
      <xdr:col>1</xdr:col>
      <xdr:colOff>161925</xdr:colOff>
      <xdr:row>4</xdr:row>
      <xdr:rowOff>104775</xdr:rowOff>
    </xdr:to>
    <xdr:pic>
      <xdr:nvPicPr>
        <xdr:cNvPr id="9832" name="Picture 2" descr="C:\Documents and Settings\Administrator\My Documents\My Pictures\Prueba.jpg">
          <a:extLst>
            <a:ext uri="{FF2B5EF4-FFF2-40B4-BE49-F238E27FC236}">
              <a16:creationId xmlns:a16="http://schemas.microsoft.com/office/drawing/2014/main" id="{8FB4A527-60F6-44EA-B186-5E2925102E53}"/>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276225"/>
          <a:ext cx="7429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1411441</xdr:colOff>
      <xdr:row>1</xdr:row>
      <xdr:rowOff>63</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D6EF1F9A-436B-4094-836B-07717D1FF5F7}"/>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u="none" strike="noStrike" baseline="0">
              <a:solidFill>
                <a:srgbClr val="000000"/>
              </a:solidFill>
              <a:latin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1257300</xdr:colOff>
      <xdr:row>34</xdr:row>
      <xdr:rowOff>171450</xdr:rowOff>
    </xdr:from>
    <xdr:to>
      <xdr:col>6</xdr:col>
      <xdr:colOff>1257300</xdr:colOff>
      <xdr:row>45</xdr:row>
      <xdr:rowOff>200025</xdr:rowOff>
    </xdr:to>
    <xdr:cxnSp macro="">
      <xdr:nvCxnSpPr>
        <xdr:cNvPr id="3435166" name="AutoShape 100">
          <a:extLst>
            <a:ext uri="{FF2B5EF4-FFF2-40B4-BE49-F238E27FC236}">
              <a16:creationId xmlns:a16="http://schemas.microsoft.com/office/drawing/2014/main" id="{7FD5FCB3-0F48-476B-A08E-EBE8945AC59E}"/>
            </a:ext>
          </a:extLst>
        </xdr:cNvPr>
        <xdr:cNvCxnSpPr>
          <a:cxnSpLocks noChangeShapeType="1"/>
        </xdr:cNvCxnSpPr>
      </xdr:nvCxnSpPr>
      <xdr:spPr bwMode="auto">
        <a:xfrm rot="5400000">
          <a:off x="11730037" y="6986588"/>
          <a:ext cx="2352675"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2242</xdr:colOff>
      <xdr:row>0</xdr:row>
      <xdr:rowOff>0</xdr:rowOff>
    </xdr:from>
    <xdr:to>
      <xdr:col>1</xdr:col>
      <xdr:colOff>1141374</xdr:colOff>
      <xdr:row>1</xdr:row>
      <xdr:rowOff>0</xdr:rowOff>
    </xdr:to>
    <xdr:sp macro="" textlink="">
      <xdr:nvSpPr>
        <xdr:cNvPr id="5" name="AutoShape 50">
          <a:hlinkClick xmlns:r="http://schemas.openxmlformats.org/officeDocument/2006/relationships" r:id="rId1"/>
          <a:extLst>
            <a:ext uri="{FF2B5EF4-FFF2-40B4-BE49-F238E27FC236}">
              <a16:creationId xmlns:a16="http://schemas.microsoft.com/office/drawing/2014/main" id="{B658E3F1-A0A5-4174-97EF-7F62855F2DBE}"/>
            </a:ext>
          </a:extLst>
        </xdr:cNvPr>
        <xdr:cNvSpPr>
          <a:spLocks noChangeArrowheads="1"/>
        </xdr:cNvSpPr>
      </xdr:nvSpPr>
      <xdr:spPr bwMode="auto">
        <a:xfrm>
          <a:off x="173692" y="0"/>
          <a:ext cx="921684" cy="3333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u="none" strike="noStrike" baseline="0">
              <a:solidFill>
                <a:srgbClr val="000000"/>
              </a:solidFill>
              <a:latin typeface="Calibri"/>
            </a:rPr>
            <a:t>Menú</a:t>
          </a:r>
        </a:p>
      </xdr:txBody>
    </xdr:sp>
    <xdr:clientData/>
  </xdr:twoCellAnchor>
  <xdr:twoCellAnchor>
    <xdr:from>
      <xdr:col>2</xdr:col>
      <xdr:colOff>1504950</xdr:colOff>
      <xdr:row>47</xdr:row>
      <xdr:rowOff>47625</xdr:rowOff>
    </xdr:from>
    <xdr:to>
      <xdr:col>6</xdr:col>
      <xdr:colOff>1219200</xdr:colOff>
      <xdr:row>48</xdr:row>
      <xdr:rowOff>57150</xdr:rowOff>
    </xdr:to>
    <xdr:grpSp>
      <xdr:nvGrpSpPr>
        <xdr:cNvPr id="3435168" name="Group 18">
          <a:extLst>
            <a:ext uri="{FF2B5EF4-FFF2-40B4-BE49-F238E27FC236}">
              <a16:creationId xmlns:a16="http://schemas.microsoft.com/office/drawing/2014/main" id="{B561C2C5-DA57-4CD3-A5DC-48FE5F4C0DC0}"/>
            </a:ext>
          </a:extLst>
        </xdr:cNvPr>
        <xdr:cNvGrpSpPr>
          <a:grpSpLocks/>
        </xdr:cNvGrpSpPr>
      </xdr:nvGrpSpPr>
      <xdr:grpSpPr bwMode="auto">
        <a:xfrm>
          <a:off x="8240486" y="8470446"/>
          <a:ext cx="4665889" cy="200025"/>
          <a:chOff x="7946572" y="8082643"/>
          <a:chExt cx="4833258" cy="193223"/>
        </a:xfrm>
      </xdr:grpSpPr>
      <xdr:cxnSp macro="">
        <xdr:nvCxnSpPr>
          <xdr:cNvPr id="3435169" name="AutoShape 100">
            <a:extLst>
              <a:ext uri="{FF2B5EF4-FFF2-40B4-BE49-F238E27FC236}">
                <a16:creationId xmlns:a16="http://schemas.microsoft.com/office/drawing/2014/main" id="{762C5DD0-9AE0-4B06-A8AE-46F628D993F2}"/>
              </a:ext>
            </a:extLst>
          </xdr:cNvPr>
          <xdr:cNvCxnSpPr>
            <a:cxnSpLocks noChangeShapeType="1"/>
          </xdr:cNvCxnSpPr>
        </xdr:nvCxnSpPr>
        <xdr:spPr bwMode="auto">
          <a:xfrm>
            <a:off x="7960179" y="8259536"/>
            <a:ext cx="4816928" cy="1588"/>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435170" name="Straight Connector 16">
            <a:extLst>
              <a:ext uri="{FF2B5EF4-FFF2-40B4-BE49-F238E27FC236}">
                <a16:creationId xmlns:a16="http://schemas.microsoft.com/office/drawing/2014/main" id="{E1D86D01-3D3D-4574-A0E2-6BBBC52F4420}"/>
              </a:ext>
            </a:extLst>
          </xdr:cNvPr>
          <xdr:cNvCxnSpPr>
            <a:cxnSpLocks noChangeShapeType="1"/>
          </xdr:cNvCxnSpPr>
        </xdr:nvCxnSpPr>
        <xdr:spPr bwMode="auto">
          <a:xfrm rot="5400000" flipH="1" flipV="1">
            <a:off x="7858125" y="8171090"/>
            <a:ext cx="176893" cy="0"/>
          </a:xfrm>
          <a:prstGeom prst="line">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3435171" name="Straight Connector 17">
            <a:extLst>
              <a:ext uri="{FF2B5EF4-FFF2-40B4-BE49-F238E27FC236}">
                <a16:creationId xmlns:a16="http://schemas.microsoft.com/office/drawing/2014/main" id="{1C0E55D2-9704-4E98-962E-305B84603DB0}"/>
              </a:ext>
            </a:extLst>
          </xdr:cNvPr>
          <xdr:cNvCxnSpPr>
            <a:cxnSpLocks noChangeShapeType="1"/>
          </xdr:cNvCxnSpPr>
        </xdr:nvCxnSpPr>
        <xdr:spPr bwMode="auto">
          <a:xfrm rot="5400000" flipH="1" flipV="1">
            <a:off x="12691383" y="8187420"/>
            <a:ext cx="176893" cy="0"/>
          </a:xfrm>
          <a:prstGeom prst="line">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234315</xdr:colOff>
      <xdr:row>2</xdr:row>
      <xdr:rowOff>0</xdr:rowOff>
    </xdr:from>
    <xdr:to>
      <xdr:col>1</xdr:col>
      <xdr:colOff>822</xdr:colOff>
      <xdr:row>2</xdr:row>
      <xdr:rowOff>451279</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FC30ACBB-B1BA-4B52-8360-C6C84C022515}"/>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112395</xdr:colOff>
      <xdr:row>0</xdr:row>
      <xdr:rowOff>51089</xdr:rowOff>
    </xdr:from>
    <xdr:to>
      <xdr:col>0</xdr:col>
      <xdr:colOff>1253564</xdr:colOff>
      <xdr:row>1</xdr:row>
      <xdr:rowOff>120012</xdr:rowOff>
    </xdr:to>
    <xdr:sp macro="" textlink="">
      <xdr:nvSpPr>
        <xdr:cNvPr id="4" name="AutoShape 50">
          <a:hlinkClick xmlns:r="http://schemas.openxmlformats.org/officeDocument/2006/relationships" r:id="rId2"/>
          <a:extLst>
            <a:ext uri="{FF2B5EF4-FFF2-40B4-BE49-F238E27FC236}">
              <a16:creationId xmlns:a16="http://schemas.microsoft.com/office/drawing/2014/main" id="{3D56A5C3-5AAB-4AD6-827B-7E9753EE1AEB}"/>
            </a:ext>
          </a:extLst>
        </xdr:cNvPr>
        <xdr:cNvSpPr>
          <a:spLocks noChangeArrowheads="1"/>
        </xdr:cNvSpPr>
      </xdr:nvSpPr>
      <xdr:spPr bwMode="auto">
        <a:xfrm>
          <a:off x="85725" y="41564"/>
          <a:ext cx="921684" cy="3333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u="none" strike="noStrike" baseline="0">
              <a:solidFill>
                <a:srgbClr val="000000"/>
              </a:solidFill>
              <a:latin typeface="Calibri"/>
            </a:rPr>
            <a:t>Menú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9</xdr:row>
      <xdr:rowOff>123825</xdr:rowOff>
    </xdr:from>
    <xdr:to>
      <xdr:col>6</xdr:col>
      <xdr:colOff>28575</xdr:colOff>
      <xdr:row>20</xdr:row>
      <xdr:rowOff>228600</xdr:rowOff>
    </xdr:to>
    <xdr:graphicFrame macro="">
      <xdr:nvGraphicFramePr>
        <xdr:cNvPr id="3547540" name="Chart 32">
          <a:extLst>
            <a:ext uri="{FF2B5EF4-FFF2-40B4-BE49-F238E27FC236}">
              <a16:creationId xmlns:a16="http://schemas.microsoft.com/office/drawing/2014/main" id="{14224EB5-3CA3-4BB7-80F0-BC73E2FB8F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1238250</xdr:colOff>
      <xdr:row>9</xdr:row>
      <xdr:rowOff>38100</xdr:rowOff>
    </xdr:from>
    <xdr:to>
      <xdr:col>10</xdr:col>
      <xdr:colOff>704850</xdr:colOff>
      <xdr:row>20</xdr:row>
      <xdr:rowOff>371475</xdr:rowOff>
    </xdr:to>
    <xdr:graphicFrame macro="">
      <xdr:nvGraphicFramePr>
        <xdr:cNvPr id="3547541" name="Chart 31">
          <a:extLst>
            <a:ext uri="{FF2B5EF4-FFF2-40B4-BE49-F238E27FC236}">
              <a16:creationId xmlns:a16="http://schemas.microsoft.com/office/drawing/2014/main" id="{99087D27-17EC-48BA-ABEF-49CBB623F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5</xdr:col>
      <xdr:colOff>2162175</xdr:colOff>
      <xdr:row>30</xdr:row>
      <xdr:rowOff>47625</xdr:rowOff>
    </xdr:to>
    <xdr:graphicFrame macro="">
      <xdr:nvGraphicFramePr>
        <xdr:cNvPr id="3547542" name="Chart 34">
          <a:extLst>
            <a:ext uri="{FF2B5EF4-FFF2-40B4-BE49-F238E27FC236}">
              <a16:creationId xmlns:a16="http://schemas.microsoft.com/office/drawing/2014/main" id="{C8DB1D65-967F-4CA8-976C-FB72DD72C5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2</xdr:col>
      <xdr:colOff>7817</xdr:colOff>
      <xdr:row>1</xdr:row>
      <xdr:rowOff>866</xdr:rowOff>
    </xdr:to>
    <xdr:sp macro="" textlink="">
      <xdr:nvSpPr>
        <xdr:cNvPr id="8" name="AutoShape 50">
          <a:hlinkClick xmlns:r="http://schemas.openxmlformats.org/officeDocument/2006/relationships" r:id="rId4"/>
          <a:extLst>
            <a:ext uri="{FF2B5EF4-FFF2-40B4-BE49-F238E27FC236}">
              <a16:creationId xmlns:a16="http://schemas.microsoft.com/office/drawing/2014/main" id="{8A642C98-8E82-4238-8B58-3DE6DB0FDD1D}"/>
            </a:ext>
          </a:extLst>
        </xdr:cNvPr>
        <xdr:cNvSpPr>
          <a:spLocks noChangeArrowheads="1"/>
        </xdr:cNvSpPr>
      </xdr:nvSpPr>
      <xdr:spPr bwMode="auto">
        <a:xfrm>
          <a:off x="0" y="0"/>
          <a:ext cx="921684" cy="3333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u="none" strike="noStrike" baseline="0">
              <a:solidFill>
                <a:srgbClr val="000000"/>
              </a:solidFill>
              <a:latin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219075</xdr:rowOff>
    </xdr:from>
    <xdr:to>
      <xdr:col>12</xdr:col>
      <xdr:colOff>266700</xdr:colOff>
      <xdr:row>14</xdr:row>
      <xdr:rowOff>190500</xdr:rowOff>
    </xdr:to>
    <xdr:graphicFrame macro="">
      <xdr:nvGraphicFramePr>
        <xdr:cNvPr id="3551838" name="Chart 1034">
          <a:extLst>
            <a:ext uri="{FF2B5EF4-FFF2-40B4-BE49-F238E27FC236}">
              <a16:creationId xmlns:a16="http://schemas.microsoft.com/office/drawing/2014/main" id="{E4FB626C-16F9-484D-9848-CC58FD7F1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16</xdr:row>
      <xdr:rowOff>0</xdr:rowOff>
    </xdr:from>
    <xdr:to>
      <xdr:col>5</xdr:col>
      <xdr:colOff>1190625</xdr:colOff>
      <xdr:row>25</xdr:row>
      <xdr:rowOff>38100</xdr:rowOff>
    </xdr:to>
    <xdr:graphicFrame macro="">
      <xdr:nvGraphicFramePr>
        <xdr:cNvPr id="3551839" name="Chart 1039">
          <a:extLst>
            <a:ext uri="{FF2B5EF4-FFF2-40B4-BE49-F238E27FC236}">
              <a16:creationId xmlns:a16="http://schemas.microsoft.com/office/drawing/2014/main" id="{3DECC208-F1C9-44A0-AEA9-1CC124CAA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xdr:row>
      <xdr:rowOff>19050</xdr:rowOff>
    </xdr:from>
    <xdr:to>
      <xdr:col>6</xdr:col>
      <xdr:colOff>123825</xdr:colOff>
      <xdr:row>14</xdr:row>
      <xdr:rowOff>314325</xdr:rowOff>
    </xdr:to>
    <xdr:graphicFrame macro="">
      <xdr:nvGraphicFramePr>
        <xdr:cNvPr id="3551840" name="Chart 1046">
          <a:extLst>
            <a:ext uri="{FF2B5EF4-FFF2-40B4-BE49-F238E27FC236}">
              <a16:creationId xmlns:a16="http://schemas.microsoft.com/office/drawing/2014/main" id="{310920AD-345A-4523-B3C1-00D9464A81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1352550</xdr:colOff>
      <xdr:row>16</xdr:row>
      <xdr:rowOff>19050</xdr:rowOff>
    </xdr:from>
    <xdr:to>
      <xdr:col>13</xdr:col>
      <xdr:colOff>209550</xdr:colOff>
      <xdr:row>25</xdr:row>
      <xdr:rowOff>66675</xdr:rowOff>
    </xdr:to>
    <xdr:graphicFrame macro="">
      <xdr:nvGraphicFramePr>
        <xdr:cNvPr id="3551841" name="Chart 1054">
          <a:extLst>
            <a:ext uri="{FF2B5EF4-FFF2-40B4-BE49-F238E27FC236}">
              <a16:creationId xmlns:a16="http://schemas.microsoft.com/office/drawing/2014/main" id="{C3B5111A-1A9D-4363-9720-E819C3F64A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266700</xdr:colOff>
      <xdr:row>27</xdr:row>
      <xdr:rowOff>57150</xdr:rowOff>
    </xdr:from>
    <xdr:to>
      <xdr:col>6</xdr:col>
      <xdr:colOff>142875</xdr:colOff>
      <xdr:row>33</xdr:row>
      <xdr:rowOff>295275</xdr:rowOff>
    </xdr:to>
    <xdr:graphicFrame macro="">
      <xdr:nvGraphicFramePr>
        <xdr:cNvPr id="3551842" name="Chart 1091">
          <a:extLst>
            <a:ext uri="{FF2B5EF4-FFF2-40B4-BE49-F238E27FC236}">
              <a16:creationId xmlns:a16="http://schemas.microsoft.com/office/drawing/2014/main" id="{095EB611-EE1D-401D-8687-D089968C4D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0</xdr:row>
      <xdr:rowOff>5043</xdr:rowOff>
    </xdr:from>
    <xdr:to>
      <xdr:col>1</xdr:col>
      <xdr:colOff>859769</xdr:colOff>
      <xdr:row>1</xdr:row>
      <xdr:rowOff>8000</xdr:rowOff>
    </xdr:to>
    <xdr:sp macro="" textlink="">
      <xdr:nvSpPr>
        <xdr:cNvPr id="8" name="AutoShape 50">
          <a:hlinkClick xmlns:r="http://schemas.openxmlformats.org/officeDocument/2006/relationships" r:id="rId6"/>
          <a:extLst>
            <a:ext uri="{FF2B5EF4-FFF2-40B4-BE49-F238E27FC236}">
              <a16:creationId xmlns:a16="http://schemas.microsoft.com/office/drawing/2014/main" id="{62169120-EF79-4040-8BB8-BDF667318E53}"/>
            </a:ext>
          </a:extLst>
        </xdr:cNvPr>
        <xdr:cNvSpPr>
          <a:spLocks noChangeArrowheads="1"/>
        </xdr:cNvSpPr>
      </xdr:nvSpPr>
      <xdr:spPr bwMode="auto">
        <a:xfrm>
          <a:off x="0" y="5043"/>
          <a:ext cx="921684" cy="3333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u="none" strike="noStrike" baseline="0">
              <a:solidFill>
                <a:srgbClr val="000000"/>
              </a:solidFill>
              <a:latin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200025</xdr:colOff>
      <xdr:row>9</xdr:row>
      <xdr:rowOff>57150</xdr:rowOff>
    </xdr:from>
    <xdr:to>
      <xdr:col>11</xdr:col>
      <xdr:colOff>57150</xdr:colOff>
      <xdr:row>17</xdr:row>
      <xdr:rowOff>0</xdr:rowOff>
    </xdr:to>
    <xdr:graphicFrame macro="">
      <xdr:nvGraphicFramePr>
        <xdr:cNvPr id="3622269" name="Chart 33">
          <a:extLst>
            <a:ext uri="{FF2B5EF4-FFF2-40B4-BE49-F238E27FC236}">
              <a16:creationId xmlns:a16="http://schemas.microsoft.com/office/drawing/2014/main" id="{5958B9EF-737B-4ACB-9314-B3B338E03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200025</xdr:colOff>
      <xdr:row>9</xdr:row>
      <xdr:rowOff>66675</xdr:rowOff>
    </xdr:from>
    <xdr:to>
      <xdr:col>16</xdr:col>
      <xdr:colOff>923925</xdr:colOff>
      <xdr:row>16</xdr:row>
      <xdr:rowOff>266700</xdr:rowOff>
    </xdr:to>
    <xdr:graphicFrame macro="">
      <xdr:nvGraphicFramePr>
        <xdr:cNvPr id="3622270" name="Chart 488">
          <a:extLst>
            <a:ext uri="{FF2B5EF4-FFF2-40B4-BE49-F238E27FC236}">
              <a16:creationId xmlns:a16="http://schemas.microsoft.com/office/drawing/2014/main" id="{45E4E8BA-B61F-4FB8-9BDF-7320BA247A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0</xdr:row>
      <xdr:rowOff>28575</xdr:rowOff>
    </xdr:from>
    <xdr:to>
      <xdr:col>1</xdr:col>
      <xdr:colOff>1152227</xdr:colOff>
      <xdr:row>1</xdr:row>
      <xdr:rowOff>28575</xdr:rowOff>
    </xdr:to>
    <xdr:sp macro="" textlink="">
      <xdr:nvSpPr>
        <xdr:cNvPr id="6" name="AutoShape 50">
          <a:hlinkClick xmlns:r="http://schemas.openxmlformats.org/officeDocument/2006/relationships" r:id="rId3"/>
          <a:extLst>
            <a:ext uri="{FF2B5EF4-FFF2-40B4-BE49-F238E27FC236}">
              <a16:creationId xmlns:a16="http://schemas.microsoft.com/office/drawing/2014/main" id="{A554DC25-6FCD-4844-8873-56E9E03A5F97}"/>
            </a:ext>
          </a:extLst>
        </xdr:cNvPr>
        <xdr:cNvSpPr>
          <a:spLocks noChangeArrowheads="1"/>
        </xdr:cNvSpPr>
      </xdr:nvSpPr>
      <xdr:spPr bwMode="auto">
        <a:xfrm>
          <a:off x="28575" y="19050"/>
          <a:ext cx="921684" cy="3333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u="none" strike="noStrike" baseline="0">
              <a:solidFill>
                <a:srgbClr val="000000"/>
              </a:solidFill>
              <a:latin typeface="Calibri"/>
            </a:rPr>
            <a:t>Menú</a:t>
          </a:r>
        </a:p>
      </xdr:txBody>
    </xdr:sp>
    <xdr:clientData/>
  </xdr:twoCellAnchor>
  <xdr:twoCellAnchor>
    <xdr:from>
      <xdr:col>1</xdr:col>
      <xdr:colOff>238125</xdr:colOff>
      <xdr:row>9</xdr:row>
      <xdr:rowOff>47625</xdr:rowOff>
    </xdr:from>
    <xdr:to>
      <xdr:col>4</xdr:col>
      <xdr:colOff>466725</xdr:colOff>
      <xdr:row>16</xdr:row>
      <xdr:rowOff>266700</xdr:rowOff>
    </xdr:to>
    <xdr:graphicFrame macro="">
      <xdr:nvGraphicFramePr>
        <xdr:cNvPr id="3622272" name="Chart 33">
          <a:extLst>
            <a:ext uri="{FF2B5EF4-FFF2-40B4-BE49-F238E27FC236}">
              <a16:creationId xmlns:a16="http://schemas.microsoft.com/office/drawing/2014/main" id="{0FEAF602-77CD-4A23-B52D-495E06618A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114300</xdr:colOff>
      <xdr:row>20</xdr:row>
      <xdr:rowOff>0</xdr:rowOff>
    </xdr:to>
    <xdr:sp macro="" textlink="">
      <xdr:nvSpPr>
        <xdr:cNvPr id="3561357" name="Rectangle 11">
          <a:extLst>
            <a:ext uri="{FF2B5EF4-FFF2-40B4-BE49-F238E27FC236}">
              <a16:creationId xmlns:a16="http://schemas.microsoft.com/office/drawing/2014/main" id="{697E0BED-AFD8-4EFB-851E-242F3090545E}"/>
            </a:ext>
          </a:extLst>
        </xdr:cNvPr>
        <xdr:cNvSpPr>
          <a:spLocks noChangeArrowheads="1"/>
        </xdr:cNvSpPr>
      </xdr:nvSpPr>
      <xdr:spPr bwMode="auto">
        <a:xfrm>
          <a:off x="5553075" y="5143500"/>
          <a:ext cx="1143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20</xdr:row>
      <xdr:rowOff>0</xdr:rowOff>
    </xdr:from>
    <xdr:to>
      <xdr:col>8</xdr:col>
      <xdr:colOff>114300</xdr:colOff>
      <xdr:row>20</xdr:row>
      <xdr:rowOff>0</xdr:rowOff>
    </xdr:to>
    <xdr:sp macro="" textlink="">
      <xdr:nvSpPr>
        <xdr:cNvPr id="3561358" name="Arc 12">
          <a:extLst>
            <a:ext uri="{FF2B5EF4-FFF2-40B4-BE49-F238E27FC236}">
              <a16:creationId xmlns:a16="http://schemas.microsoft.com/office/drawing/2014/main" id="{23296037-3A09-4505-908C-5380DB796758}"/>
            </a:ext>
          </a:extLst>
        </xdr:cNvPr>
        <xdr:cNvSpPr>
          <a:spLocks/>
        </xdr:cNvSpPr>
      </xdr:nvSpPr>
      <xdr:spPr bwMode="auto">
        <a:xfrm rot="5400000" flipH="1" flipV="1">
          <a:off x="5610225" y="5086350"/>
          <a:ext cx="0" cy="11430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1238250</xdr:colOff>
      <xdr:row>20</xdr:row>
      <xdr:rowOff>0</xdr:rowOff>
    </xdr:from>
    <xdr:to>
      <xdr:col>9</xdr:col>
      <xdr:colOff>9525</xdr:colOff>
      <xdr:row>20</xdr:row>
      <xdr:rowOff>0</xdr:rowOff>
    </xdr:to>
    <xdr:sp macro="" textlink="">
      <xdr:nvSpPr>
        <xdr:cNvPr id="3561359" name="Rectangle 47">
          <a:extLst>
            <a:ext uri="{FF2B5EF4-FFF2-40B4-BE49-F238E27FC236}">
              <a16:creationId xmlns:a16="http://schemas.microsoft.com/office/drawing/2014/main" id="{1627B2C2-2628-42F7-AD37-234E208119C0}"/>
            </a:ext>
          </a:extLst>
        </xdr:cNvPr>
        <xdr:cNvSpPr>
          <a:spLocks noChangeArrowheads="1"/>
        </xdr:cNvSpPr>
      </xdr:nvSpPr>
      <xdr:spPr bwMode="auto">
        <a:xfrm rot="-5400000" flipH="1" flipV="1">
          <a:off x="6615113" y="5138737"/>
          <a:ext cx="0" cy="95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1238250</xdr:colOff>
      <xdr:row>20</xdr:row>
      <xdr:rowOff>0</xdr:rowOff>
    </xdr:from>
    <xdr:to>
      <xdr:col>9</xdr:col>
      <xdr:colOff>9525</xdr:colOff>
      <xdr:row>20</xdr:row>
      <xdr:rowOff>0</xdr:rowOff>
    </xdr:to>
    <xdr:sp macro="" textlink="">
      <xdr:nvSpPr>
        <xdr:cNvPr id="3561360" name="Arc 48">
          <a:extLst>
            <a:ext uri="{FF2B5EF4-FFF2-40B4-BE49-F238E27FC236}">
              <a16:creationId xmlns:a16="http://schemas.microsoft.com/office/drawing/2014/main" id="{3DBB6747-8645-4F9B-9439-85414F2A7B51}"/>
            </a:ext>
          </a:extLst>
        </xdr:cNvPr>
        <xdr:cNvSpPr>
          <a:spLocks/>
        </xdr:cNvSpPr>
      </xdr:nvSpPr>
      <xdr:spPr bwMode="auto">
        <a:xfrm>
          <a:off x="6610350" y="5143500"/>
          <a:ext cx="9525"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971550</xdr:colOff>
      <xdr:row>20</xdr:row>
      <xdr:rowOff>0</xdr:rowOff>
    </xdr:from>
    <xdr:to>
      <xdr:col>7</xdr:col>
      <xdr:colOff>0</xdr:colOff>
      <xdr:row>20</xdr:row>
      <xdr:rowOff>0</xdr:rowOff>
    </xdr:to>
    <xdr:sp macro="" textlink="">
      <xdr:nvSpPr>
        <xdr:cNvPr id="3561361" name="Rectangle 47">
          <a:extLst>
            <a:ext uri="{FF2B5EF4-FFF2-40B4-BE49-F238E27FC236}">
              <a16:creationId xmlns:a16="http://schemas.microsoft.com/office/drawing/2014/main" id="{6CA55037-87F5-4BBA-8B33-F06C84827C16}"/>
            </a:ext>
          </a:extLst>
        </xdr:cNvPr>
        <xdr:cNvSpPr>
          <a:spLocks noChangeArrowheads="1"/>
        </xdr:cNvSpPr>
      </xdr:nvSpPr>
      <xdr:spPr bwMode="auto">
        <a:xfrm rot="-5400000" flipH="1" flipV="1">
          <a:off x="5267325" y="51435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971550</xdr:colOff>
      <xdr:row>20</xdr:row>
      <xdr:rowOff>0</xdr:rowOff>
    </xdr:from>
    <xdr:to>
      <xdr:col>7</xdr:col>
      <xdr:colOff>0</xdr:colOff>
      <xdr:row>20</xdr:row>
      <xdr:rowOff>0</xdr:rowOff>
    </xdr:to>
    <xdr:sp macro="" textlink="">
      <xdr:nvSpPr>
        <xdr:cNvPr id="3561362" name="Arc 48">
          <a:extLst>
            <a:ext uri="{FF2B5EF4-FFF2-40B4-BE49-F238E27FC236}">
              <a16:creationId xmlns:a16="http://schemas.microsoft.com/office/drawing/2014/main" id="{7D510575-4BB2-4046-90DD-22C8FABD6174}"/>
            </a:ext>
          </a:extLst>
        </xdr:cNvPr>
        <xdr:cNvSpPr>
          <a:spLocks/>
        </xdr:cNvSpPr>
      </xdr:nvSpPr>
      <xdr:spPr bwMode="auto">
        <a:xfrm>
          <a:off x="5267325" y="5143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0</xdr:colOff>
      <xdr:row>20</xdr:row>
      <xdr:rowOff>0</xdr:rowOff>
    </xdr:from>
    <xdr:to>
      <xdr:col>3</xdr:col>
      <xdr:colOff>114300</xdr:colOff>
      <xdr:row>20</xdr:row>
      <xdr:rowOff>0</xdr:rowOff>
    </xdr:to>
    <xdr:sp macro="" textlink="">
      <xdr:nvSpPr>
        <xdr:cNvPr id="3561363" name="Rectangle 11">
          <a:extLst>
            <a:ext uri="{FF2B5EF4-FFF2-40B4-BE49-F238E27FC236}">
              <a16:creationId xmlns:a16="http://schemas.microsoft.com/office/drawing/2014/main" id="{E7197DE2-3A86-4E65-87EB-C9C49450CC6E}"/>
            </a:ext>
          </a:extLst>
        </xdr:cNvPr>
        <xdr:cNvSpPr>
          <a:spLocks noChangeArrowheads="1"/>
        </xdr:cNvSpPr>
      </xdr:nvSpPr>
      <xdr:spPr bwMode="auto">
        <a:xfrm>
          <a:off x="1438275" y="5143500"/>
          <a:ext cx="1143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xdr:row>
      <xdr:rowOff>0</xdr:rowOff>
    </xdr:from>
    <xdr:to>
      <xdr:col>3</xdr:col>
      <xdr:colOff>114300</xdr:colOff>
      <xdr:row>20</xdr:row>
      <xdr:rowOff>0</xdr:rowOff>
    </xdr:to>
    <xdr:sp macro="" textlink="">
      <xdr:nvSpPr>
        <xdr:cNvPr id="3561364" name="Arc 12">
          <a:extLst>
            <a:ext uri="{FF2B5EF4-FFF2-40B4-BE49-F238E27FC236}">
              <a16:creationId xmlns:a16="http://schemas.microsoft.com/office/drawing/2014/main" id="{4E244CBD-1B14-472F-8640-1CDA53770AD8}"/>
            </a:ext>
          </a:extLst>
        </xdr:cNvPr>
        <xdr:cNvSpPr>
          <a:spLocks/>
        </xdr:cNvSpPr>
      </xdr:nvSpPr>
      <xdr:spPr bwMode="auto">
        <a:xfrm rot="5400000" flipH="1" flipV="1">
          <a:off x="1495425" y="5086350"/>
          <a:ext cx="0" cy="11430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58208</xdr:colOff>
      <xdr:row>0</xdr:row>
      <xdr:rowOff>49530</xdr:rowOff>
    </xdr:from>
    <xdr:to>
      <xdr:col>1</xdr:col>
      <xdr:colOff>1108351</xdr:colOff>
      <xdr:row>0</xdr:row>
      <xdr:rowOff>476250</xdr:rowOff>
    </xdr:to>
    <xdr:sp macro="" textlink="">
      <xdr:nvSpPr>
        <xdr:cNvPr id="11" name="AutoShape 50">
          <a:hlinkClick xmlns:r="http://schemas.openxmlformats.org/officeDocument/2006/relationships" r:id="rId1"/>
          <a:extLst>
            <a:ext uri="{FF2B5EF4-FFF2-40B4-BE49-F238E27FC236}">
              <a16:creationId xmlns:a16="http://schemas.microsoft.com/office/drawing/2014/main" id="{536B7381-490C-4E1A-8A72-EF8E76A32C45}"/>
            </a:ext>
          </a:extLst>
        </xdr:cNvPr>
        <xdr:cNvSpPr>
          <a:spLocks noChangeArrowheads="1"/>
        </xdr:cNvSpPr>
      </xdr:nvSpPr>
      <xdr:spPr bwMode="auto">
        <a:xfrm>
          <a:off x="48683" y="47625"/>
          <a:ext cx="921684" cy="3333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u="none" strike="noStrike" baseline="0">
              <a:solidFill>
                <a:srgbClr val="000000"/>
              </a:solidFill>
              <a:latin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640" name="Chart 1">
          <a:extLst>
            <a:ext uri="{FF2B5EF4-FFF2-40B4-BE49-F238E27FC236}">
              <a16:creationId xmlns:a16="http://schemas.microsoft.com/office/drawing/2014/main" id="{229F1B25-0B37-446F-BC0B-0F352993F6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38100</xdr:rowOff>
    </xdr:from>
    <xdr:to>
      <xdr:col>1</xdr:col>
      <xdr:colOff>821379</xdr:colOff>
      <xdr:row>0</xdr:row>
      <xdr:rowOff>382515</xdr:rowOff>
    </xdr:to>
    <xdr:sp macro="" textlink="">
      <xdr:nvSpPr>
        <xdr:cNvPr id="4" name="AutoShape 50">
          <a:hlinkClick xmlns:r="http://schemas.openxmlformats.org/officeDocument/2006/relationships" r:id="rId2"/>
          <a:extLst>
            <a:ext uri="{FF2B5EF4-FFF2-40B4-BE49-F238E27FC236}">
              <a16:creationId xmlns:a16="http://schemas.microsoft.com/office/drawing/2014/main" id="{5FC6630F-836B-4646-84D8-9448CCCABBCB}"/>
            </a:ext>
          </a:extLst>
        </xdr:cNvPr>
        <xdr:cNvSpPr>
          <a:spLocks noChangeArrowheads="1"/>
        </xdr:cNvSpPr>
      </xdr:nvSpPr>
      <xdr:spPr bwMode="auto">
        <a:xfrm>
          <a:off x="28575" y="28575"/>
          <a:ext cx="921684" cy="3333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u="none" strike="noStrike" baseline="0">
              <a:solidFill>
                <a:srgbClr val="000000"/>
              </a:solidFill>
              <a:latin typeface="Calibri"/>
            </a:rPr>
            <a:t>Menú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cargas/Ficticia%20HIV%20Dashboard_ES%20-%20Set%20Up%20and%20Maintenance%20Gui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0"/>
      <sheetData sheetId="1">
        <row r="6">
          <cell r="B6" t="str">
            <v>Subvención nº:</v>
          </cell>
          <cell r="C6" t="str">
            <v>FIC-910-G01-H</v>
          </cell>
        </row>
      </sheetData>
      <sheetData sheetId="2">
        <row r="3">
          <cell r="B3" t="str">
            <v>Tablero de mando:  Ficticia - VIH / SIDA</v>
          </cell>
        </row>
      </sheetData>
      <sheetData sheetId="3"/>
      <sheetData sheetId="4"/>
      <sheetData sheetId="5"/>
      <sheetData sheetId="6"/>
      <sheetData sheetId="7"/>
      <sheetData sheetId="8">
        <row r="9">
          <cell r="J9" t="str">
            <v>Seleccionar</v>
          </cell>
        </row>
        <row r="10">
          <cell r="J10" t="str">
            <v>Ficticia</v>
          </cell>
        </row>
        <row r="11">
          <cell r="J11" t="str">
            <v>Antillas Holandesas</v>
          </cell>
        </row>
        <row r="12">
          <cell r="J12" t="str">
            <v>Argentina</v>
          </cell>
        </row>
        <row r="13">
          <cell r="J13" t="str">
            <v>Aruba</v>
          </cell>
        </row>
        <row r="14">
          <cell r="J14" t="str">
            <v>Bahamas</v>
          </cell>
        </row>
        <row r="15">
          <cell r="J15" t="str">
            <v>Barbados</v>
          </cell>
        </row>
        <row r="16">
          <cell r="J16" t="str">
            <v>Belice</v>
          </cell>
        </row>
        <row r="17">
          <cell r="J17" t="str">
            <v>Bermudas</v>
          </cell>
        </row>
        <row r="18">
          <cell r="J18" t="str">
            <v>Bolivia</v>
          </cell>
        </row>
        <row r="19">
          <cell r="J19" t="str">
            <v>Brasil</v>
          </cell>
        </row>
        <row r="20">
          <cell r="J20" t="str">
            <v>Cabo Verde</v>
          </cell>
        </row>
        <row r="21">
          <cell r="J21" t="str">
            <v>Chile</v>
          </cell>
        </row>
        <row r="22">
          <cell r="J22" t="str">
            <v>Colombia</v>
          </cell>
        </row>
        <row r="23">
          <cell r="J23" t="str">
            <v>Costa Rica</v>
          </cell>
        </row>
        <row r="24">
          <cell r="J24" t="str">
            <v>Cuba</v>
          </cell>
        </row>
        <row r="25">
          <cell r="J25" t="str">
            <v>Dominica</v>
          </cell>
        </row>
        <row r="26">
          <cell r="J26" t="str">
            <v>Ecuador</v>
          </cell>
        </row>
        <row r="27">
          <cell r="J27" t="str">
            <v>El Salvador</v>
          </cell>
        </row>
        <row r="28">
          <cell r="J28" t="str">
            <v>España</v>
          </cell>
        </row>
        <row r="29">
          <cell r="J29" t="str">
            <v>Guadalupe</v>
          </cell>
        </row>
        <row r="30">
          <cell r="J30" t="str">
            <v>Guatemala</v>
          </cell>
        </row>
        <row r="31">
          <cell r="J31" t="str">
            <v>Guinea</v>
          </cell>
        </row>
        <row r="32">
          <cell r="J32" t="str">
            <v>Guinea Ecuatorial</v>
          </cell>
        </row>
        <row r="33">
          <cell r="J33" t="str">
            <v>Guinea-Bissau</v>
          </cell>
        </row>
        <row r="34">
          <cell r="J34" t="str">
            <v>Guyana</v>
          </cell>
        </row>
        <row r="35">
          <cell r="J35" t="str">
            <v>Haití</v>
          </cell>
        </row>
        <row r="36">
          <cell r="J36" t="str">
            <v>Honduras</v>
          </cell>
        </row>
        <row r="37">
          <cell r="J37" t="str">
            <v>Islas Caimanes</v>
          </cell>
        </row>
        <row r="38">
          <cell r="J38" t="str">
            <v>Jamaica</v>
          </cell>
        </row>
        <row r="39">
          <cell r="J39" t="str">
            <v>México</v>
          </cell>
        </row>
        <row r="40">
          <cell r="J40" t="str">
            <v>Nicaragua</v>
          </cell>
        </row>
        <row r="41">
          <cell r="J41" t="str">
            <v>Panamá</v>
          </cell>
        </row>
        <row r="42">
          <cell r="J42" t="str">
            <v>Paraguay</v>
          </cell>
        </row>
        <row r="43">
          <cell r="J43" t="str">
            <v>Perú</v>
          </cell>
        </row>
        <row r="44">
          <cell r="J44" t="str">
            <v>Puerto Rico</v>
          </cell>
        </row>
        <row r="45">
          <cell r="J45" t="str">
            <v>San Vicente, Granadinas</v>
          </cell>
        </row>
        <row r="46">
          <cell r="J46" t="str">
            <v>Trinidad y Tobago</v>
          </cell>
        </row>
        <row r="47">
          <cell r="J47" t="str">
            <v>Uruguay</v>
          </cell>
        </row>
        <row r="48">
          <cell r="J48" t="str">
            <v>Venezuela</v>
          </cell>
        </row>
      </sheetData>
    </sheetDataSet>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19" xr6:uid="{00000000-000C-0000-FFFF-FFFF00000000}" r="C4" connectionId="0">
    <xmlCellPr id="1" xr6:uid="{00000000-0010-0000-0000-000001000000}" uniqueName="1">
      <xmlPr mapId="43" xpath="/ns1:Root/ns1:Country" xmlDataType="string"/>
    </xmlCellPr>
  </singleXmlCell>
  <singleXmlCell id="420" xr6:uid="{00000000-000C-0000-FFFF-FFFF01000000}" r="C6" connectionId="0">
    <xmlCellPr id="1" xr6:uid="{00000000-0010-0000-0100-000001000000}" uniqueName="1">
      <xmlPr mapId="43" xpath="/ns1:Root/ns1:GrantNumber" xmlDataType="string"/>
    </xmlCellPr>
  </singleXmlCell>
  <singleXmlCell id="421" xr6:uid="{00000000-000C-0000-FFFF-FFFF02000000}" r="C8" connectionId="0">
    <xmlCellPr id="1" xr6:uid="{00000000-0010-0000-0200-000001000000}" uniqueName="1">
      <xmlPr mapId="43" xpath="/ns1:Root/ns1:PR" xmlDataType="string"/>
    </xmlCellPr>
  </singleXmlCell>
  <singleXmlCell id="422" xr6:uid="{00000000-000C-0000-FFFF-FFFF03000000}" r="C10" connectionId="0">
    <xmlCellPr id="1" xr6:uid="{00000000-0010-0000-0300-000001000000}" uniqueName="1">
      <xmlPr mapId="43" xpath="/ns1:Root/ns1:StartDate" xmlDataType="dateTime"/>
    </xmlCellPr>
  </singleXmlCell>
  <singleXmlCell id="423" xr6:uid="{00000000-000C-0000-FFFF-FFFF04000000}" r="C12" connectionId="0">
    <xmlCellPr id="1" xr6:uid="{00000000-0010-0000-0400-000001000000}" uniqueName="1">
      <xmlPr mapId="43" xpath="/ns1:Root/ns1:LatestRating" xmlDataType="string"/>
    </xmlCellPr>
  </singleXmlCell>
  <singleXmlCell id="424" xr6:uid="{00000000-000C-0000-FFFF-FFFF05000000}" r="G4" connectionId="0">
    <xmlCellPr id="1" xr6:uid="{00000000-0010-0000-0500-000001000000}" uniqueName="1">
      <xmlPr mapId="43" xpath="/ns1:Root/ns1:GranTitle" xmlDataType="string"/>
    </xmlCellPr>
  </singleXmlCell>
  <singleXmlCell id="425" xr6:uid="{00000000-000C-0000-FFFF-FFFF06000000}" r="G6" connectionId="0">
    <xmlCellPr id="1" xr6:uid="{00000000-0010-0000-0600-000001000000}" uniqueName="1">
      <xmlPr mapId="43" xpath="/ns1:Root/ns1:Componenent" xmlDataType="string"/>
    </xmlCellPr>
  </singleXmlCell>
  <singleXmlCell id="426" xr6:uid="{00000000-000C-0000-FFFF-FFFF07000000}" r="I6" connectionId="0">
    <xmlCellPr id="1" xr6:uid="{00000000-0010-0000-0700-000001000000}" uniqueName="1">
      <xmlPr mapId="43" xpath="/ns1:Root/ns1:TotalFunding" xmlDataType="double"/>
    </xmlCellPr>
  </singleXmlCell>
  <singleXmlCell id="427" xr6:uid="{00000000-000C-0000-FFFF-FFFF08000000}" r="G8" connectionId="0">
    <xmlCellPr id="1" xr6:uid="{00000000-0010-0000-0800-000001000000}" uniqueName="1">
      <xmlPr mapId="43" xpath="/ns1:Root/ns1:Round" xmlDataType="string"/>
    </xmlCellPr>
  </singleXmlCell>
  <singleXmlCell id="428" xr6:uid="{00000000-000C-0000-FFFF-FFFF09000000}" r="I8" connectionId="0">
    <xmlCellPr id="1" xr6:uid="{00000000-0010-0000-0900-000001000000}" uniqueName="1">
      <xmlPr mapId="43" xpath="/ns1:Root/ns1:Phase" xmlDataType="string"/>
    </xmlCellPr>
  </singleXmlCell>
  <singleXmlCell id="429" xr6:uid="{00000000-000C-0000-FFFF-FFFF0A000000}" r="G10" connectionId="0">
    <xmlCellPr id="1" xr6:uid="{00000000-0010-0000-0A00-000001000000}" uniqueName="1">
      <xmlPr mapId="43" xpath="/ns1:Root/ns1:LFA" xmlDataType="string"/>
    </xmlCellPr>
  </singleXmlCell>
  <singleXmlCell id="430" xr6:uid="{00000000-000C-0000-FFFF-FFFF0B000000}" r="G12" connectionId="0">
    <xmlCellPr id="1" xr6:uid="{00000000-0010-0000-0B00-000001000000}" uniqueName="1">
      <xmlPr mapId="43" xpath="/ns1:Root/ns1:FPM" xmlDataType="string"/>
    </xmlCellPr>
  </singleXmlCell>
  <singleXmlCell id="431" xr6:uid="{00000000-000C-0000-FFFF-FFFF0C000000}" r="C16" connectionId="0">
    <xmlCellPr id="1" xr6:uid="{00000000-0010-0000-0C00-000001000000}" uniqueName="1">
      <xmlPr mapId="43" xpath="/ns1:Root/ns1:Period" xmlDataType="string"/>
    </xmlCellPr>
  </singleXmlCell>
  <singleXmlCell id="432" xr6:uid="{00000000-000C-0000-FFFF-FFFF0D000000}" r="E16" connectionId="0">
    <xmlCellPr id="1" xr6:uid="{00000000-0010-0000-0D00-000001000000}" uniqueName="1">
      <xmlPr mapId="43" xpath="/ns1:Root/ns1:From" xmlDataType="dateTime"/>
    </xmlCellPr>
  </singleXmlCell>
  <singleXmlCell id="433" xr6:uid="{00000000-000C-0000-FFFF-FFFF0E000000}" r="G16" connectionId="0">
    <xmlCellPr id="1" xr6:uid="{00000000-0010-0000-0E00-000001000000}" uniqueName="1">
      <xmlPr mapId="43" xpath="/ns1:Root/ns1:To" xmlDataType="dateTime"/>
    </xmlCellPr>
  </singleXmlCell>
  <singleXmlCell id="434" xr6:uid="{00000000-000C-0000-FFFF-FFFF0F000000}" r="J16" connectionId="0">
    <xmlCellPr id="1" xr6:uid="{00000000-0010-0000-0F00-000001000000}" uniqueName="1">
      <xmlPr mapId="43" xpath="/ns1:Root/ns1:DataEntryDate" xmlDataType="dateTime"/>
    </xmlCellPr>
  </singleXmlCell>
  <singleXmlCell id="435" xr6:uid="{00000000-000C-0000-FFFF-FFFF10000000}" r="D18" connectionId="0">
    <xmlCellPr id="1" xr6:uid="{00000000-0010-0000-1000-000001000000}" uniqueName="1">
      <xmlPr mapId="43" xpath="/ns1:Root/ns1:PreparedBy" xmlDataType="string"/>
    </xmlCellPr>
  </singleXmlCell>
  <singleXmlCell id="436" xr6:uid="{00000000-000C-0000-FFFF-FFFF11000000}" r="C31" connectionId="0">
    <xmlCellPr id="1" xr6:uid="{00000000-0010-0000-1100-000001000000}" uniqueName="1">
      <xmlPr mapId="43" xpath="/ns1:Root/ns1:F1/ns1:Budget__in____P1" xmlDataType="double"/>
    </xmlCellPr>
  </singleXmlCell>
  <singleXmlCell id="437" xr6:uid="{00000000-000C-0000-FFFF-FFFF12000000}" r="D31" connectionId="0">
    <xmlCellPr id="1" xr6:uid="{00000000-0010-0000-1200-000001000000}" uniqueName="1">
      <xmlPr mapId="43" xpath="/ns1:Root/ns1:F1/ns1:Budget__in____P2" xmlDataType="double"/>
    </xmlCellPr>
  </singleXmlCell>
  <singleXmlCell id="438" xr6:uid="{00000000-000C-0000-FFFF-FFFF13000000}" r="E31" connectionId="0">
    <xmlCellPr id="1" xr6:uid="{00000000-0010-0000-1300-000001000000}" uniqueName="1">
      <xmlPr mapId="43" xpath="/ns1:Root/ns1:F1/ns1:Budget__in____P3" xmlDataType="string"/>
    </xmlCellPr>
  </singleXmlCell>
  <singleXmlCell id="439" xr6:uid="{00000000-000C-0000-FFFF-FFFF14000000}" r="F31" connectionId="0">
    <xmlCellPr id="1" xr6:uid="{00000000-0010-0000-1400-000001000000}" uniqueName="1">
      <xmlPr mapId="43" xpath="/ns1:Root/ns1:F1/ns1:Budget__in____P4" xmlDataType="string"/>
    </xmlCellPr>
  </singleXmlCell>
  <singleXmlCell id="440" xr6:uid="{00000000-000C-0000-FFFF-FFFF15000000}" r="G31" connectionId="0">
    <xmlCellPr id="1" xr6:uid="{00000000-0010-0000-1500-000001000000}" uniqueName="1">
      <xmlPr mapId="43" xpath="/ns1:Root/ns1:F1/ns1:Budget__in____P5" xmlDataType="string"/>
    </xmlCellPr>
  </singleXmlCell>
  <singleXmlCell id="441" xr6:uid="{00000000-000C-0000-FFFF-FFFF16000000}" r="H31" connectionId="0">
    <xmlCellPr id="1" xr6:uid="{00000000-0010-0000-1600-000001000000}" uniqueName="1">
      <xmlPr mapId="43" xpath="/ns1:Root/ns1:F1/ns1:Budget__in____P6" xmlDataType="string"/>
    </xmlCellPr>
  </singleXmlCell>
  <singleXmlCell id="442" xr6:uid="{00000000-000C-0000-FFFF-FFFF17000000}" r="I31" connectionId="0">
    <xmlCellPr id="1" xr6:uid="{00000000-0010-0000-1700-000001000000}" uniqueName="1">
      <xmlPr mapId="43" xpath="/ns1:Root/ns1:F1/ns1:Budget__in____P7" xmlDataType="string"/>
    </xmlCellPr>
  </singleXmlCell>
  <singleXmlCell id="443" xr6:uid="{00000000-000C-0000-FFFF-FFFF18000000}" r="J31" connectionId="0">
    <xmlCellPr id="1" xr6:uid="{00000000-0010-0000-1800-000001000000}" uniqueName="1">
      <xmlPr mapId="43" xpath="/ns1:Root/ns1:F1/ns1:Budget__in____P8" xmlDataType="string"/>
    </xmlCellPr>
  </singleXmlCell>
  <singleXmlCell id="444" xr6:uid="{00000000-000C-0000-FFFF-FFFF19000000}" r="K31" connectionId="0">
    <xmlCellPr id="1" xr6:uid="{00000000-0010-0000-1900-000001000000}" uniqueName="1">
      <xmlPr mapId="43" xpath="/ns1:Root/ns1:F1/ns1:Budget__in____P9" xmlDataType="string"/>
    </xmlCellPr>
  </singleXmlCell>
  <singleXmlCell id="445" xr6:uid="{00000000-000C-0000-FFFF-FFFF1A000000}" r="L31" connectionId="0">
    <xmlCellPr id="1" xr6:uid="{00000000-0010-0000-1A00-000001000000}" uniqueName="1">
      <xmlPr mapId="43" xpath="/ns1:Root/ns1:F1/ns1:Budget__in____P10" xmlDataType="string"/>
    </xmlCellPr>
  </singleXmlCell>
  <singleXmlCell id="446" xr6:uid="{00000000-000C-0000-FFFF-FFFF1B000000}" r="M31" connectionId="0">
    <xmlCellPr id="1" xr6:uid="{00000000-0010-0000-1B00-000001000000}" uniqueName="1">
      <xmlPr mapId="43" xpath="/ns1:Root/ns1:F1/ns1:Budget__in____P11" xmlDataType="string"/>
    </xmlCellPr>
  </singleXmlCell>
  <singleXmlCell id="447" xr6:uid="{00000000-000C-0000-FFFF-FFFF1C000000}" r="N31" connectionId="0">
    <xmlCellPr id="1" xr6:uid="{00000000-0010-0000-1C00-000001000000}" uniqueName="1">
      <xmlPr mapId="43" xpath="/ns1:Root/ns1:F1/ns1:Budget__in____P12" xmlDataType="string"/>
    </xmlCellPr>
  </singleXmlCell>
  <singleXmlCell id="448" xr6:uid="{00000000-000C-0000-FFFF-FFFF1D000000}" r="C32" connectionId="0">
    <xmlCellPr id="1" xr6:uid="{00000000-0010-0000-1D00-000001000000}" uniqueName="1">
      <xmlPr mapId="43" xpath="/ns1:Root/ns1:F1/ns1:Disbursements_by_GF__in____P1" xmlDataType="double"/>
    </xmlCellPr>
  </singleXmlCell>
  <singleXmlCell id="449" xr6:uid="{00000000-000C-0000-FFFF-FFFF1E000000}" r="D32" connectionId="0">
    <xmlCellPr id="1" xr6:uid="{00000000-0010-0000-1E00-000001000000}" uniqueName="1">
      <xmlPr mapId="43" xpath="/ns1:Root/ns1:F1/ns1:Disbursements_by_GF__in____P2" xmlDataType="double"/>
    </xmlCellPr>
  </singleXmlCell>
  <singleXmlCell id="450" xr6:uid="{00000000-000C-0000-FFFF-FFFF1F000000}" r="E32" connectionId="0">
    <xmlCellPr id="1" xr6:uid="{00000000-0010-0000-1F00-000001000000}" uniqueName="1">
      <xmlPr mapId="43" xpath="/ns1:Root/ns1:F1/ns1:Disbursements_by_GF__in____P3" xmlDataType="string"/>
    </xmlCellPr>
  </singleXmlCell>
  <singleXmlCell id="451" xr6:uid="{00000000-000C-0000-FFFF-FFFF20000000}" r="F32" connectionId="0">
    <xmlCellPr id="1" xr6:uid="{00000000-0010-0000-2000-000001000000}" uniqueName="1">
      <xmlPr mapId="43" xpath="/ns1:Root/ns1:F1/ns1:Disbursements_by_GF__in____P4" xmlDataType="string"/>
    </xmlCellPr>
  </singleXmlCell>
  <singleXmlCell id="452" xr6:uid="{00000000-000C-0000-FFFF-FFFF21000000}" r="G32" connectionId="0">
    <xmlCellPr id="1" xr6:uid="{00000000-0010-0000-2100-000001000000}" uniqueName="1">
      <xmlPr mapId="43" xpath="/ns1:Root/ns1:F1/ns1:Disbursements_by_GF__in____P5" xmlDataType="string"/>
    </xmlCellPr>
  </singleXmlCell>
  <singleXmlCell id="453" xr6:uid="{00000000-000C-0000-FFFF-FFFF22000000}" r="H32" connectionId="0">
    <xmlCellPr id="1" xr6:uid="{00000000-0010-0000-2200-000001000000}" uniqueName="1">
      <xmlPr mapId="43" xpath="/ns1:Root/ns1:F1/ns1:Disbursements_by_GF__in____P6" xmlDataType="string"/>
    </xmlCellPr>
  </singleXmlCell>
  <singleXmlCell id="454" xr6:uid="{00000000-000C-0000-FFFF-FFFF23000000}" r="I32" connectionId="0">
    <xmlCellPr id="1" xr6:uid="{00000000-0010-0000-2300-000001000000}" uniqueName="1">
      <xmlPr mapId="43" xpath="/ns1:Root/ns1:F1/ns1:Disbursements_by_GF__in____P7" xmlDataType="string"/>
    </xmlCellPr>
  </singleXmlCell>
  <singleXmlCell id="455" xr6:uid="{00000000-000C-0000-FFFF-FFFF24000000}" r="J32" connectionId="0">
    <xmlCellPr id="1" xr6:uid="{00000000-0010-0000-2400-000001000000}" uniqueName="1">
      <xmlPr mapId="43" xpath="/ns1:Root/ns1:F1/ns1:Disbursements_by_GF__in____P8" xmlDataType="string"/>
    </xmlCellPr>
  </singleXmlCell>
  <singleXmlCell id="456" xr6:uid="{00000000-000C-0000-FFFF-FFFF25000000}" r="K32" connectionId="0">
    <xmlCellPr id="1" xr6:uid="{00000000-0010-0000-2500-000001000000}" uniqueName="1">
      <xmlPr mapId="43" xpath="/ns1:Root/ns1:F1/ns1:Disbursements_by_GF__in____P9" xmlDataType="string"/>
    </xmlCellPr>
  </singleXmlCell>
  <singleXmlCell id="457" xr6:uid="{00000000-000C-0000-FFFF-FFFF26000000}" r="L32" connectionId="0">
    <xmlCellPr id="1" xr6:uid="{00000000-0010-0000-2600-000001000000}" uniqueName="1">
      <xmlPr mapId="43" xpath="/ns1:Root/ns1:F1/ns1:Disbursements_by_GF__in____P10" xmlDataType="string"/>
    </xmlCellPr>
  </singleXmlCell>
  <singleXmlCell id="458" xr6:uid="{00000000-000C-0000-FFFF-FFFF27000000}" r="M32" connectionId="0">
    <xmlCellPr id="1" xr6:uid="{00000000-0010-0000-2700-000001000000}" uniqueName="1">
      <xmlPr mapId="43" xpath="/ns1:Root/ns1:F1/ns1:Disbursements_by_GF__in____P11" xmlDataType="string"/>
    </xmlCellPr>
  </singleXmlCell>
  <singleXmlCell id="459" xr6:uid="{00000000-000C-0000-FFFF-FFFF28000000}" r="N32" connectionId="0">
    <xmlCellPr id="1" xr6:uid="{00000000-0010-0000-2800-000001000000}" uniqueName="1">
      <xmlPr mapId="43" xpath="/ns1:Root/ns1:F1/ns1:Disbursements_by_GF__in____P12" xmlDataType="string"/>
    </xmlCellPr>
  </singleXmlCell>
  <singleXmlCell id="460" xr6:uid="{00000000-000C-0000-FFFF-FFFF29000000}" r="C39" connectionId="0">
    <xmlCellPr id="1" xr6:uid="{00000000-0010-0000-2900-000001000000}" uniqueName="1">
      <xmlPr mapId="43" xpath="/ns1:Root/ns1:F2/ns1:TB__detect_and_treat_Cumulative_Budget__in___" xmlDataType="double"/>
    </xmlCellPr>
  </singleXmlCell>
  <singleXmlCell id="461" xr6:uid="{00000000-000C-0000-FFFF-FFFF2A000000}" r="D39" connectionId="0">
    <xmlCellPr id="1" xr6:uid="{00000000-0010-0000-2A00-000001000000}" uniqueName="1">
      <xmlPr mapId="43" xpath="/ns1:Root/ns1:F2/ns1:TB__detect_and_treat_Cumulative_Expenditures__in___" xmlDataType="double"/>
    </xmlCellPr>
  </singleXmlCell>
  <singleXmlCell id="462" xr6:uid="{00000000-000C-0000-FFFF-FFFF2B000000}" r="C40" connectionId="0">
    <xmlCellPr id="1" xr6:uid="{00000000-0010-0000-2B00-000001000000}" uniqueName="1">
      <xmlPr mapId="43" xpath="/ns1:Root/ns1:F2/ns1:TB__ID_cases_Cumulative_Budget__in___" xmlDataType="double"/>
    </xmlCellPr>
  </singleXmlCell>
  <singleXmlCell id="463" xr6:uid="{00000000-000C-0000-FFFF-FFFF2C000000}" r="D40" connectionId="0">
    <xmlCellPr id="1" xr6:uid="{00000000-0010-0000-2C00-000001000000}" uniqueName="1">
      <xmlPr mapId="43" xpath="/ns1:Root/ns1:F2/ns1:TB__ID_cases_Cumulative_Expenditures__in___" xmlDataType="double"/>
    </xmlCellPr>
  </singleXmlCell>
  <singleXmlCell id="464" xr6:uid="{00000000-000C-0000-FFFF-FFFF2D000000}" r="C41" connectionId="0">
    <xmlCellPr id="1" xr6:uid="{00000000-0010-0000-2D00-000001000000}" uniqueName="1">
      <xmlPr mapId="43" xpath="/ns1:Root/ns1:F2/ns1:TB_HIV__Cumulative_Budget__in___" xmlDataType="double"/>
    </xmlCellPr>
  </singleXmlCell>
  <singleXmlCell id="465" xr6:uid="{00000000-000C-0000-FFFF-FFFF2E000000}" r="D41" connectionId="0">
    <xmlCellPr id="1" xr6:uid="{00000000-0010-0000-2E00-000001000000}" uniqueName="1">
      <xmlPr mapId="43" xpath="/ns1:Root/ns1:F2/ns1:TB_HIV__Cumulative_Expenditures__in___" xmlDataType="double"/>
    </xmlCellPr>
  </singleXmlCell>
  <singleXmlCell id="466" xr6:uid="{00000000-000C-0000-FFFF-FFFF2F000000}" r="C42" connectionId="0">
    <xmlCellPr id="1" xr6:uid="{00000000-0010-0000-2F00-000001000000}" uniqueName="1">
      <xmlPr mapId="43" xpath="/ns1:Root/ns1:F2/ns1:Advocacy__Commun__SocMob_Cumulative_Budget__in___" xmlDataType="double"/>
    </xmlCellPr>
  </singleXmlCell>
  <singleXmlCell id="467" xr6:uid="{00000000-000C-0000-FFFF-FFFF30000000}" r="D42" connectionId="0">
    <xmlCellPr id="1" xr6:uid="{00000000-0010-0000-3000-000001000000}" uniqueName="1">
      <xmlPr mapId="43" xpath="/ns1:Root/ns1:F2/ns1:Advocacy__Commun__SocMob_Cumulative_Expenditures__in___" xmlDataType="double"/>
    </xmlCellPr>
  </singleXmlCell>
  <singleXmlCell id="468" xr6:uid="{00000000-000C-0000-FFFF-FFFF31000000}" r="C43" connectionId="0">
    <xmlCellPr id="1" xr6:uid="{00000000-0010-0000-3100-000001000000}" uniqueName="1">
      <xmlPr mapId="43" xpath="/ns1:Root/ns1:F2/ns1:Environ__Community_TB_care__Cumulative_Budget__in___" xmlDataType="double"/>
    </xmlCellPr>
  </singleXmlCell>
  <singleXmlCell id="469" xr6:uid="{00000000-000C-0000-FFFF-FFFF32000000}" r="D43" connectionId="0">
    <xmlCellPr id="1" xr6:uid="{00000000-0010-0000-3200-000001000000}" uniqueName="1">
      <xmlPr mapId="43" xpath="/ns1:Root/ns1:F2/ns1:Environ__Community_TB_care__Cumulative_Expenditures__in___" xmlDataType="double"/>
    </xmlCellPr>
  </singleXmlCell>
  <singleXmlCell id="470" xr6:uid="{00000000-000C-0000-FFFF-FFFF33000000}" r="C44" connectionId="0">
    <xmlCellPr id="1" xr6:uid="{00000000-0010-0000-3300-000001000000}" uniqueName="1">
      <xmlPr mapId="43" xpath="/ns1:Root/ns1:F2/ns1:_Cumulative_Budget__in____1" xmlDataType="string"/>
    </xmlCellPr>
  </singleXmlCell>
  <singleXmlCell id="471" xr6:uid="{00000000-000C-0000-FFFF-FFFF34000000}" r="D44" connectionId="0">
    <xmlCellPr id="1" xr6:uid="{00000000-0010-0000-3400-000001000000}" uniqueName="1">
      <xmlPr mapId="43" xpath="/ns1:Root/ns1:F2/ns1:_Cumulative_Expenditures__in____1" xmlDataType="string"/>
    </xmlCellPr>
  </singleXmlCell>
  <singleXmlCell id="472" xr6:uid="{00000000-000C-0000-FFFF-FFFF35000000}" r="C45" connectionId="0">
    <xmlCellPr id="1" xr6:uid="{00000000-0010-0000-3500-000001000000}" uniqueName="1">
      <xmlPr mapId="43" xpath="/ns1:Root/ns1:F2/ns1:_Cumulative_Budget__in____2" xmlDataType="string"/>
    </xmlCellPr>
  </singleXmlCell>
  <singleXmlCell id="473" xr6:uid="{00000000-000C-0000-FFFF-FFFF36000000}" r="D45" connectionId="0">
    <xmlCellPr id="1" xr6:uid="{00000000-0010-0000-3600-000001000000}" uniqueName="1">
      <xmlPr mapId="43" xpath="/ns1:Root/ns1:F2/ns1:_Cumulative_Expenditures__in____2" xmlDataType="string"/>
    </xmlCellPr>
  </singleXmlCell>
  <singleXmlCell id="474" xr6:uid="{00000000-000C-0000-FFFF-FFFF37000000}" r="C46" connectionId="0">
    <xmlCellPr id="1" xr6:uid="{00000000-0010-0000-3700-000001000000}" uniqueName="1">
      <xmlPr mapId="43" xpath="/ns1:Root/ns1:F2/ns1:_Cumulative_Budget__in___" xmlDataType="string"/>
    </xmlCellPr>
  </singleXmlCell>
  <singleXmlCell id="475" xr6:uid="{00000000-000C-0000-FFFF-FFFF38000000}" r="D46" connectionId="0">
    <xmlCellPr id="1" xr6:uid="{00000000-0010-0000-3800-000001000000}" uniqueName="1">
      <xmlPr mapId="43" xpath="/ns1:Root/ns1:F2/ns1:_Cumulative_Expenditures__in___" xmlDataType="string"/>
    </xmlCellPr>
  </singleXmlCell>
  <singleXmlCell id="476" xr6:uid="{00000000-000C-0000-FFFF-FFFF39000000}" r="C52" connectionId="0">
    <xmlCellPr id="1" xr6:uid="{00000000-0010-0000-3900-000001000000}" uniqueName="1">
      <xmlPr mapId="43" xpath="/ns1:Root/ns1:F3/ns1:Disbursed_by_Global_Fund_Prior_to_reporting_period__in___" xmlDataType="double"/>
    </xmlCellPr>
  </singleXmlCell>
  <singleXmlCell id="477" xr6:uid="{00000000-000C-0000-FFFF-FFFF3A000000}" r="D52" connectionId="0">
    <xmlCellPr id="1" xr6:uid="{00000000-0010-0000-3A00-000001000000}" uniqueName="1">
      <xmlPr mapId="43" xpath="/ns1:Root/ns1:F3/ns1:Disbursed_by_Global_Fund_Reporting_period__in___" xmlDataType="double"/>
    </xmlCellPr>
  </singleXmlCell>
  <singleXmlCell id="478" xr6:uid="{00000000-000C-0000-FFFF-FFFF3B000000}" r="C53" connectionId="0">
    <xmlCellPr id="1" xr6:uid="{00000000-0010-0000-3B00-000001000000}" uniqueName="1">
      <xmlPr mapId="43" xpath="/ns1:Root/ns1:F3/ns1:PR_expenditure_and_disbursement_Prior_to_reporting_period__in___" xmlDataType="double"/>
    </xmlCellPr>
  </singleXmlCell>
  <singleXmlCell id="479" xr6:uid="{00000000-000C-0000-FFFF-FFFF3C000000}" r="D53" connectionId="0">
    <xmlCellPr id="1" xr6:uid="{00000000-0010-0000-3C00-000001000000}" uniqueName="1">
      <xmlPr mapId="43" xpath="/ns1:Root/ns1:F3/ns1:PR_expenditure_and_disbursement_Reporting_period__in___" xmlDataType="double"/>
    </xmlCellPr>
  </singleXmlCell>
  <singleXmlCell id="480" xr6:uid="{00000000-000C-0000-FFFF-FFFF3D000000}" r="C54" connectionId="0">
    <xmlCellPr id="1" xr6:uid="{00000000-0010-0000-3D00-000001000000}" uniqueName="1">
      <xmlPr mapId="43" xpath="/ns1:Root/ns1:F3/ns1:Disbursed_to_SRs_Prior_to_reporting_period__in___" xmlDataType="double"/>
    </xmlCellPr>
  </singleXmlCell>
  <singleXmlCell id="481" xr6:uid="{00000000-000C-0000-FFFF-FFFF3E000000}" r="D54" connectionId="0">
    <xmlCellPr id="1" xr6:uid="{00000000-0010-0000-3E00-000001000000}" uniqueName="1">
      <xmlPr mapId="43" xpath="/ns1:Root/ns1:F3/ns1:Disbursed_to_SRs_Reporting_period__in___" xmlDataType="double"/>
    </xmlCellPr>
  </singleXmlCell>
  <singleXmlCell id="482" xr6:uid="{00000000-000C-0000-FFFF-FFFF3F000000}" r="C55" connectionId="0">
    <xmlCellPr id="1" xr6:uid="{00000000-0010-0000-3F00-000001000000}" uniqueName="1">
      <xmlPr mapId="43" xpath="/ns1:Root/ns1:F3/ns1:SR_expenditures_Prior_to_reporting_period__in___" xmlDataType="double"/>
    </xmlCellPr>
  </singleXmlCell>
  <singleXmlCell id="483" xr6:uid="{00000000-000C-0000-FFFF-FFFF40000000}" r="D55" connectionId="0">
    <xmlCellPr id="1" xr6:uid="{00000000-0010-0000-4000-000001000000}" uniqueName="1">
      <xmlPr mapId="43" xpath="/ns1:Root/ns1:F3/ns1:SR_expenditures_Reporting_period__in___" xmlDataType="double"/>
    </xmlCellPr>
  </singleXmlCell>
  <singleXmlCell id="484" xr6:uid="{00000000-000C-0000-FFFF-FFFF41000000}" r="C62" connectionId="0">
    <xmlCellPr id="1" xr6:uid="{00000000-0010-0000-4100-000001000000}" uniqueName="1">
      <xmlPr mapId="43" xpath="/ns1:Root/ns1:F4/ns1:Days_taken_to_submit_acceptable_PU_DR_to_LFA_Expected__days_" xmlDataType="double"/>
    </xmlCellPr>
  </singleXmlCell>
  <singleXmlCell id="485" xr6:uid="{00000000-000C-0000-FFFF-FFFF42000000}" r="D62" connectionId="0">
    <xmlCellPr id="1" xr6:uid="{00000000-0010-0000-4200-000001000000}" uniqueName="1">
      <xmlPr mapId="43" xpath="/ns1:Root/ns1:F4/ns1:Days_taken_to_submit_acceptable_PU_DR_to_LFA_Actual__days_" xmlDataType="double"/>
    </xmlCellPr>
  </singleXmlCell>
  <singleXmlCell id="486" xr6:uid="{00000000-000C-0000-FFFF-FFFF43000000}" r="C63" connectionId="0">
    <xmlCellPr id="1" xr6:uid="{00000000-0010-0000-4300-000001000000}" uniqueName="1">
      <xmlPr mapId="43" xpath="/ns1:Root/ns1:F4/ns1:Days_taken_for_disbursement_to_reach_PR_Expected__days_" xmlDataType="double"/>
    </xmlCellPr>
  </singleXmlCell>
  <singleXmlCell id="487" xr6:uid="{00000000-000C-0000-FFFF-FFFF44000000}" r="D63" connectionId="0">
    <xmlCellPr id="1" xr6:uid="{00000000-0010-0000-4400-000001000000}" uniqueName="1">
      <xmlPr mapId="43" xpath="/ns1:Root/ns1:F4/ns1:Days_taken_for_disbursement_to_reach_PR_Actual__days_" xmlDataType="double"/>
    </xmlCellPr>
  </singleXmlCell>
  <singleXmlCell id="488" xr6:uid="{00000000-000C-0000-FFFF-FFFF45000000}" r="C64" connectionId="0">
    <xmlCellPr id="1" xr6:uid="{00000000-0010-0000-4500-000001000000}" uniqueName="1">
      <xmlPr mapId="43" xpath="/ns1:Root/ns1:F4/ns1:Days_taken_for_disbursement_to_reach_SRs__Expected__days_" xmlDataType="double"/>
    </xmlCellPr>
  </singleXmlCell>
  <singleXmlCell id="489" xr6:uid="{00000000-000C-0000-FFFF-FFFF46000000}" r="D64" connectionId="0">
    <xmlCellPr id="1" xr6:uid="{00000000-0010-0000-4600-000001000000}" uniqueName="1">
      <xmlPr mapId="43" xpath="/ns1:Root/ns1:F4/ns1:Days_taken_for_disbursement_to_reach_SRs__Actual__days_" xmlDataType="double"/>
    </xmlCellPr>
  </singleXmlCell>
  <singleXmlCell id="490" xr6:uid="{00000000-000C-0000-FFFF-FFFF47000000}" r="B72" connectionId="0">
    <xmlCellPr id="1" xr6:uid="{00000000-0010-0000-4700-000001000000}" uniqueName="1">
      <xmlPr mapId="43" xpath="/ns1:Root/ns1:M1/ns1:Conditions_precedents__CPs__" xmlDataType="string"/>
    </xmlCellPr>
  </singleXmlCell>
  <singleXmlCell id="491" xr6:uid="{00000000-000C-0000-FFFF-FFFF48000000}" r="D72" connectionId="0">
    <xmlCellPr id="1" xr6:uid="{00000000-0010-0000-4800-000001000000}" uniqueName="1">
      <xmlPr mapId="43" xpath="/ns1:Root/ns1:M1/ns1:Conditions_precedents__CPs__Fulfilled" xmlDataType="double"/>
    </xmlCellPr>
  </singleXmlCell>
  <singleXmlCell id="492" xr6:uid="{00000000-000C-0000-FFFF-FFFF49000000}" r="E72" connectionId="0">
    <xmlCellPr id="1" xr6:uid="{00000000-0010-0000-4900-000001000000}" uniqueName="1">
      <xmlPr mapId="43" xpath="/ns1:Root/ns1:M1/ns1:Conditions_precedents__CPs__Not_fulfilled__but_within_deadline" xmlDataType="double"/>
    </xmlCellPr>
  </singleXmlCell>
  <singleXmlCell id="493" xr6:uid="{00000000-000C-0000-FFFF-FFFF4A000000}" r="F72" connectionId="0">
    <xmlCellPr id="1" xr6:uid="{00000000-0010-0000-4A00-000001000000}" uniqueName="1">
      <xmlPr mapId="43" xpath="/ns1:Root/ns1:M1/ns1:Conditions_precedents__CPs__Not_fulfilled__and_past_the_deadline" xmlDataType="double"/>
    </xmlCellPr>
  </singleXmlCell>
  <singleXmlCell id="494" xr6:uid="{00000000-000C-0000-FFFF-FFFF4B000000}" r="B73" connectionId="0">
    <xmlCellPr id="1" xr6:uid="{00000000-0010-0000-4B00-000001000000}" uniqueName="1">
      <xmlPr mapId="43" xpath="/ns1:Root/ns1:M1/ns1:Time_Bound_Actions__TBAs__" xmlDataType="string"/>
    </xmlCellPr>
  </singleXmlCell>
  <singleXmlCell id="495" xr6:uid="{00000000-000C-0000-FFFF-FFFF4C000000}" r="D73" connectionId="0">
    <xmlCellPr id="1" xr6:uid="{00000000-0010-0000-4C00-000001000000}" uniqueName="1">
      <xmlPr mapId="43" xpath="/ns1:Root/ns1:M1/ns1:Time_Bound_Actions__TBAs__Fulfilled" xmlDataType="double"/>
    </xmlCellPr>
  </singleXmlCell>
  <singleXmlCell id="496" xr6:uid="{00000000-000C-0000-FFFF-FFFF4D000000}" r="E73" connectionId="0">
    <xmlCellPr id="1" xr6:uid="{00000000-0010-0000-4D00-000001000000}" uniqueName="1">
      <xmlPr mapId="43" xpath="/ns1:Root/ns1:M1/ns1:Time_Bound_Actions__TBAs__Not_fulfilled__but_within_deadline" xmlDataType="string"/>
    </xmlCellPr>
  </singleXmlCell>
  <singleXmlCell id="497" xr6:uid="{00000000-000C-0000-FFFF-FFFF4E000000}" r="F73" connectionId="0">
    <xmlCellPr id="1" xr6:uid="{00000000-0010-0000-4E00-000001000000}" uniqueName="1">
      <xmlPr mapId="43" xpath="/ns1:Root/ns1:M1/ns1:Time_Bound_Actions__TBAs__Not_fulfilled__and_past_the_deadline" xmlDataType="double"/>
    </xmlCellPr>
  </singleXmlCell>
  <singleXmlCell id="498" xr6:uid="{00000000-000C-0000-FFFF-FFFF4F000000}" r="C79" connectionId="0">
    <xmlCellPr id="1" xr6:uid="{00000000-0010-0000-4F00-000001000000}" uniqueName="1">
      <xmlPr mapId="43" xpath="/ns1:Root/ns1:M2/ns1:PMU_Planned" xmlDataType="double"/>
    </xmlCellPr>
  </singleXmlCell>
  <singleXmlCell id="499" xr6:uid="{00000000-000C-0000-FFFF-FFFF50000000}" r="D79" connectionId="0">
    <xmlCellPr id="1" xr6:uid="{00000000-0010-0000-5000-000001000000}" uniqueName="1">
      <xmlPr mapId="43" xpath="/ns1:Root/ns1:M2/ns1:PMU_Filled" xmlDataType="double"/>
    </xmlCellPr>
  </singleXmlCell>
  <singleXmlCell id="500" xr6:uid="{00000000-000C-0000-FFFF-FFFF51000000}" r="C84" connectionId="0">
    <xmlCellPr id="1" xr6:uid="{00000000-0010-0000-5100-000001000000}" uniqueName="1">
      <xmlPr mapId="43" xpath="/ns1:Root/ns1:M3/ns1:SRs_Identified" xmlDataType="double"/>
    </xmlCellPr>
  </singleXmlCell>
  <singleXmlCell id="501" xr6:uid="{00000000-000C-0000-FFFF-FFFF52000000}" r="D84" connectionId="0">
    <xmlCellPr id="1" xr6:uid="{00000000-0010-0000-5200-000001000000}" uniqueName="1">
      <xmlPr mapId="43" xpath="/ns1:Root/ns1:M3/ns1:SRs_Assessed" xmlDataType="double"/>
    </xmlCellPr>
  </singleXmlCell>
  <singleXmlCell id="502" xr6:uid="{00000000-000C-0000-FFFF-FFFF53000000}" r="E84" connectionId="0">
    <xmlCellPr id="1" xr6:uid="{00000000-0010-0000-5300-000001000000}" uniqueName="1">
      <xmlPr mapId="43" xpath="/ns1:Root/ns1:M3/ns1:SRs_Approved" xmlDataType="double"/>
    </xmlCellPr>
  </singleXmlCell>
  <singleXmlCell id="503" xr6:uid="{00000000-000C-0000-FFFF-FFFF54000000}" r="F84" connectionId="0">
    <xmlCellPr id="1" xr6:uid="{00000000-0010-0000-5400-000001000000}" uniqueName="1">
      <xmlPr mapId="43" xpath="/ns1:Root/ns1:M3/ns1:SRs_Signed" xmlDataType="double"/>
    </xmlCellPr>
  </singleXmlCell>
  <singleXmlCell id="504" xr6:uid="{00000000-000C-0000-FFFF-FFFF55000000}" r="G84" connectionId="0">
    <xmlCellPr id="1" xr6:uid="{00000000-0010-0000-5500-000001000000}" uniqueName="1">
      <xmlPr mapId="43" xpath="/ns1:Root/ns1:M3/ns1:SRs_Receiving_Funding" xmlDataType="double"/>
    </xmlCellPr>
  </singleXmlCell>
  <singleXmlCell id="506" xr6:uid="{00000000-000C-0000-FFFF-FFFF56000000}" r="C89" connectionId="0">
    <xmlCellPr id="1" xr6:uid="{00000000-0010-0000-5600-000001000000}" uniqueName="1">
      <xmlPr mapId="43" xpath="/ns1:Root/ns1:M4/ns1:SSR_to_SR__IR_____Expected" xmlDataType="string"/>
    </xmlCellPr>
  </singleXmlCell>
  <singleXmlCell id="507" xr6:uid="{00000000-000C-0000-FFFF-FFFF57000000}" r="D89" connectionId="0">
    <xmlCellPr id="1" xr6:uid="{00000000-0010-0000-5700-000001000000}" uniqueName="1">
      <xmlPr mapId="43" xpath="/ns1:Root/ns1:M4/ns1:SSR_to_SR__IR____Received" xmlDataType="string"/>
    </xmlCellPr>
  </singleXmlCell>
  <singleXmlCell id="509" xr6:uid="{00000000-000C-0000-FFFF-FFFF58000000}" r="C90" connectionId="0">
    <xmlCellPr id="1" xr6:uid="{00000000-0010-0000-5800-000001000000}" uniqueName="1">
      <xmlPr mapId="43" xpath="/ns1:Root/ns1:M4/ns1:SRs__IRs__to_PR____Expected" xmlDataType="double"/>
    </xmlCellPr>
  </singleXmlCell>
  <singleXmlCell id="510" xr6:uid="{00000000-000C-0000-FFFF-FFFF59000000}" r="D90" connectionId="0">
    <xmlCellPr id="1" xr6:uid="{00000000-0010-0000-5900-000001000000}" uniqueName="1">
      <xmlPr mapId="43" xpath="/ns1:Root/ns1:M4/ns1:SRs__IRs__to_PR___Received" xmlDataType="double"/>
    </xmlCellPr>
  </singleXmlCell>
  <singleXmlCell id="511" xr6:uid="{00000000-000C-0000-FFFF-FFFF5A000000}" r="C95" connectionId="0">
    <xmlCellPr id="1" xr6:uid="{00000000-0010-0000-5A00-000001000000}" uniqueName="1">
      <xmlPr mapId="43" xpath="/ns1:Root/ns1:M5/ns1:Budget_Approved__P1" xmlDataType="double"/>
    </xmlCellPr>
  </singleXmlCell>
  <singleXmlCell id="512" xr6:uid="{00000000-000C-0000-FFFF-FFFF5B000000}" r="D95" connectionId="0">
    <xmlCellPr id="1" xr6:uid="{00000000-0010-0000-5B00-000001000000}" uniqueName="1">
      <xmlPr mapId="43" xpath="/ns1:Root/ns1:M5/ns1:Budget_Approved__P2" xmlDataType="double"/>
    </xmlCellPr>
  </singleXmlCell>
  <singleXmlCell id="513" xr6:uid="{00000000-000C-0000-FFFF-FFFF5C000000}" r="E95" connectionId="0">
    <xmlCellPr id="1" xr6:uid="{00000000-0010-0000-5C00-000001000000}" uniqueName="1">
      <xmlPr mapId="43" xpath="/ns1:Root/ns1:M5/ns1:Budget_Approved__P3" xmlDataType="double"/>
    </xmlCellPr>
  </singleXmlCell>
  <singleXmlCell id="514" xr6:uid="{00000000-000C-0000-FFFF-FFFF5D000000}" r="F95" connectionId="0">
    <xmlCellPr id="1" xr6:uid="{00000000-0010-0000-5D00-000001000000}" uniqueName="1">
      <xmlPr mapId="43" xpath="/ns1:Root/ns1:M5/ns1:Budget_Approved__P4" xmlDataType="double"/>
    </xmlCellPr>
  </singleXmlCell>
  <singleXmlCell id="515" xr6:uid="{00000000-000C-0000-FFFF-FFFF5E000000}" r="G95" connectionId="0">
    <xmlCellPr id="1" xr6:uid="{00000000-0010-0000-5E00-000001000000}" uniqueName="1">
      <xmlPr mapId="43" xpath="/ns1:Root/ns1:M5/ns1:Budget_Approved__P5" xmlDataType="double"/>
    </xmlCellPr>
  </singleXmlCell>
  <singleXmlCell id="516" xr6:uid="{00000000-000C-0000-FFFF-FFFF5F000000}" r="H95" connectionId="0">
    <xmlCellPr id="1" xr6:uid="{00000000-0010-0000-5F00-000001000000}" uniqueName="1">
      <xmlPr mapId="43" xpath="/ns1:Root/ns1:M5/ns1:Budget_Approved__P6" xmlDataType="double"/>
    </xmlCellPr>
  </singleXmlCell>
  <singleXmlCell id="517" xr6:uid="{00000000-000C-0000-FFFF-FFFF60000000}" r="I95" connectionId="0">
    <xmlCellPr id="1" xr6:uid="{00000000-0010-0000-6000-000001000000}" uniqueName="1">
      <xmlPr mapId="43" xpath="/ns1:Root/ns1:M5/ns1:Budget_Approved__P7" xmlDataType="double"/>
    </xmlCellPr>
  </singleXmlCell>
  <singleXmlCell id="518" xr6:uid="{00000000-000C-0000-FFFF-FFFF61000000}" r="J95" connectionId="0">
    <xmlCellPr id="1" xr6:uid="{00000000-0010-0000-6100-000001000000}" uniqueName="1">
      <xmlPr mapId="43" xpath="/ns1:Root/ns1:M5/ns1:Budget_Approved__P8" xmlDataType="double"/>
    </xmlCellPr>
  </singleXmlCell>
  <singleXmlCell id="519" xr6:uid="{00000000-000C-0000-FFFF-FFFF62000000}" r="K95" connectionId="0">
    <xmlCellPr id="1" xr6:uid="{00000000-0010-0000-6200-000001000000}" uniqueName="1">
      <xmlPr mapId="43" xpath="/ns1:Root/ns1:M5/ns1:Budget_Approved__P9" xmlDataType="double"/>
    </xmlCellPr>
  </singleXmlCell>
  <singleXmlCell id="520" xr6:uid="{00000000-000C-0000-FFFF-FFFF63000000}" r="L95" connectionId="0">
    <xmlCellPr id="1" xr6:uid="{00000000-0010-0000-6300-000001000000}" uniqueName="1">
      <xmlPr mapId="43" xpath="/ns1:Root/ns1:M5/ns1:Budget_Approved__P10" xmlDataType="double"/>
    </xmlCellPr>
  </singleXmlCell>
  <singleXmlCell id="521" xr6:uid="{00000000-000C-0000-FFFF-FFFF64000000}" r="M95" connectionId="0">
    <xmlCellPr id="1" xr6:uid="{00000000-0010-0000-6400-000001000000}" uniqueName="1">
      <xmlPr mapId="43" xpath="/ns1:Root/ns1:M5/ns1:Budget_Approved__P11" xmlDataType="double"/>
    </xmlCellPr>
  </singleXmlCell>
  <singleXmlCell id="522" xr6:uid="{00000000-000C-0000-FFFF-FFFF65000000}" r="N95" connectionId="0">
    <xmlCellPr id="1" xr6:uid="{00000000-0010-0000-6500-000001000000}" uniqueName="1">
      <xmlPr mapId="43" xpath="/ns1:Root/ns1:M5/ns1:Budget_Approved__P12" xmlDataType="double"/>
    </xmlCellPr>
  </singleXmlCell>
  <singleXmlCell id="523" xr6:uid="{00000000-000C-0000-FFFF-FFFF66000000}" r="C96" connectionId="0">
    <xmlCellPr id="1" xr6:uid="{00000000-0010-0000-6600-000001000000}" uniqueName="1">
      <xmlPr mapId="43" xpath="/ns1:Root/ns1:M5/ns1:Obligations_P1" xmlDataType="double"/>
    </xmlCellPr>
  </singleXmlCell>
  <singleXmlCell id="524" xr6:uid="{00000000-000C-0000-FFFF-FFFF67000000}" r="D96" connectionId="0">
    <xmlCellPr id="1" xr6:uid="{00000000-0010-0000-6700-000001000000}" uniqueName="1">
      <xmlPr mapId="43" xpath="/ns1:Root/ns1:M5/ns1:Obligations_P2" xmlDataType="double"/>
    </xmlCellPr>
  </singleXmlCell>
  <singleXmlCell id="525" xr6:uid="{00000000-000C-0000-FFFF-FFFF68000000}" r="E96" connectionId="0">
    <xmlCellPr id="1" xr6:uid="{00000000-0010-0000-6800-000001000000}" uniqueName="1">
      <xmlPr mapId="43" xpath="/ns1:Root/ns1:M5/ns1:Obligations_P3" xmlDataType="double"/>
    </xmlCellPr>
  </singleXmlCell>
  <singleXmlCell id="526" xr6:uid="{00000000-000C-0000-FFFF-FFFF69000000}" r="F96" connectionId="0">
    <xmlCellPr id="1" xr6:uid="{00000000-0010-0000-6900-000001000000}" uniqueName="1">
      <xmlPr mapId="43" xpath="/ns1:Root/ns1:M5/ns1:Obligations_P4" xmlDataType="double"/>
    </xmlCellPr>
  </singleXmlCell>
  <singleXmlCell id="527" xr6:uid="{00000000-000C-0000-FFFF-FFFF6A000000}" r="G96" connectionId="0">
    <xmlCellPr id="1" xr6:uid="{00000000-0010-0000-6A00-000001000000}" uniqueName="1">
      <xmlPr mapId="43" xpath="/ns1:Root/ns1:M5/ns1:Obligations_P5" xmlDataType="double"/>
    </xmlCellPr>
  </singleXmlCell>
  <singleXmlCell id="528" xr6:uid="{00000000-000C-0000-FFFF-FFFF6B000000}" r="H96" connectionId="0">
    <xmlCellPr id="1" xr6:uid="{00000000-0010-0000-6B00-000001000000}" uniqueName="1">
      <xmlPr mapId="43" xpath="/ns1:Root/ns1:M5/ns1:Obligations_P6" xmlDataType="double"/>
    </xmlCellPr>
  </singleXmlCell>
  <singleXmlCell id="529" xr6:uid="{00000000-000C-0000-FFFF-FFFF6C000000}" r="I96" connectionId="0">
    <xmlCellPr id="1" xr6:uid="{00000000-0010-0000-6C00-000001000000}" uniqueName="1">
      <xmlPr mapId="43" xpath="/ns1:Root/ns1:M5/ns1:Obligations_P7" xmlDataType="double"/>
    </xmlCellPr>
  </singleXmlCell>
  <singleXmlCell id="530" xr6:uid="{00000000-000C-0000-FFFF-FFFF6D000000}" r="J96" connectionId="0">
    <xmlCellPr id="1" xr6:uid="{00000000-0010-0000-6D00-000001000000}" uniqueName="1">
      <xmlPr mapId="43" xpath="/ns1:Root/ns1:M5/ns1:Obligations_P8" xmlDataType="double"/>
    </xmlCellPr>
  </singleXmlCell>
  <singleXmlCell id="531" xr6:uid="{00000000-000C-0000-FFFF-FFFF6E000000}" r="K96" connectionId="0">
    <xmlCellPr id="1" xr6:uid="{00000000-0010-0000-6E00-000001000000}" uniqueName="1">
      <xmlPr mapId="43" xpath="/ns1:Root/ns1:M5/ns1:Obligations_P9" xmlDataType="double"/>
    </xmlCellPr>
  </singleXmlCell>
  <singleXmlCell id="532" xr6:uid="{00000000-000C-0000-FFFF-FFFF6F000000}" r="L96" connectionId="0">
    <xmlCellPr id="1" xr6:uid="{00000000-0010-0000-6F00-000001000000}" uniqueName="1">
      <xmlPr mapId="43" xpath="/ns1:Root/ns1:M5/ns1:Obligations_P10" xmlDataType="double"/>
    </xmlCellPr>
  </singleXmlCell>
  <singleXmlCell id="533" xr6:uid="{00000000-000C-0000-FFFF-FFFF70000000}" r="M96" connectionId="0">
    <xmlCellPr id="1" xr6:uid="{00000000-0010-0000-7000-000001000000}" uniqueName="1">
      <xmlPr mapId="43" xpath="/ns1:Root/ns1:M5/ns1:Obligations_P11" xmlDataType="double"/>
    </xmlCellPr>
  </singleXmlCell>
  <singleXmlCell id="534" xr6:uid="{00000000-000C-0000-FFFF-FFFF71000000}" r="N96" connectionId="0">
    <xmlCellPr id="1" xr6:uid="{00000000-0010-0000-7100-000001000000}" uniqueName="1">
      <xmlPr mapId="43" xpath="/ns1:Root/ns1:M5/ns1:Obligations_P12" xmlDataType="double"/>
    </xmlCellPr>
  </singleXmlCell>
  <singleXmlCell id="535" xr6:uid="{00000000-000C-0000-FFFF-FFFF72000000}" r="C97" connectionId="0">
    <xmlCellPr id="1" xr6:uid="{00000000-0010-0000-7200-000001000000}" uniqueName="1">
      <xmlPr mapId="43" xpath="/ns1:Root/ns1:M5/ns1:Expenditures_P1" xmlDataType="double"/>
    </xmlCellPr>
  </singleXmlCell>
  <singleXmlCell id="536" xr6:uid="{00000000-000C-0000-FFFF-FFFF73000000}" r="D97" connectionId="0">
    <xmlCellPr id="1" xr6:uid="{00000000-0010-0000-7300-000001000000}" uniqueName="1">
      <xmlPr mapId="43" xpath="/ns1:Root/ns1:M5/ns1:Expenditures_P2" xmlDataType="double"/>
    </xmlCellPr>
  </singleXmlCell>
  <singleXmlCell id="537" xr6:uid="{00000000-000C-0000-FFFF-FFFF74000000}" r="E97" connectionId="0">
    <xmlCellPr id="1" xr6:uid="{00000000-0010-0000-7400-000001000000}" uniqueName="1">
      <xmlPr mapId="43" xpath="/ns1:Root/ns1:M5/ns1:Expenditures_P3" xmlDataType="double"/>
    </xmlCellPr>
  </singleXmlCell>
  <singleXmlCell id="538" xr6:uid="{00000000-000C-0000-FFFF-FFFF75000000}" r="F97" connectionId="0">
    <xmlCellPr id="1" xr6:uid="{00000000-0010-0000-7500-000001000000}" uniqueName="1">
      <xmlPr mapId="43" xpath="/ns1:Root/ns1:M5/ns1:Expenditures_P4" xmlDataType="double"/>
    </xmlCellPr>
  </singleXmlCell>
  <singleXmlCell id="539" xr6:uid="{00000000-000C-0000-FFFF-FFFF76000000}" r="G97" connectionId="0">
    <xmlCellPr id="1" xr6:uid="{00000000-0010-0000-7600-000001000000}" uniqueName="1">
      <xmlPr mapId="43" xpath="/ns1:Root/ns1:M5/ns1:Expenditures_P5" xmlDataType="double"/>
    </xmlCellPr>
  </singleXmlCell>
  <singleXmlCell id="540" xr6:uid="{00000000-000C-0000-FFFF-FFFF77000000}" r="H97" connectionId="0">
    <xmlCellPr id="1" xr6:uid="{00000000-0010-0000-7700-000001000000}" uniqueName="1">
      <xmlPr mapId="43" xpath="/ns1:Root/ns1:M5/ns1:Expenditures_P6" xmlDataType="double"/>
    </xmlCellPr>
  </singleXmlCell>
  <singleXmlCell id="541" xr6:uid="{00000000-000C-0000-FFFF-FFFF78000000}" r="I97" connectionId="0">
    <xmlCellPr id="1" xr6:uid="{00000000-0010-0000-7800-000001000000}" uniqueName="1">
      <xmlPr mapId="43" xpath="/ns1:Root/ns1:M5/ns1:Expenditures_P7" xmlDataType="double"/>
    </xmlCellPr>
  </singleXmlCell>
  <singleXmlCell id="542" xr6:uid="{00000000-000C-0000-FFFF-FFFF79000000}" r="J97" connectionId="0">
    <xmlCellPr id="1" xr6:uid="{00000000-0010-0000-7900-000001000000}" uniqueName="1">
      <xmlPr mapId="43" xpath="/ns1:Root/ns1:M5/ns1:Expenditures_P8" xmlDataType="double"/>
    </xmlCellPr>
  </singleXmlCell>
  <singleXmlCell id="543" xr6:uid="{00000000-000C-0000-FFFF-FFFF7A000000}" r="K97" connectionId="0">
    <xmlCellPr id="1" xr6:uid="{00000000-0010-0000-7A00-000001000000}" uniqueName="1">
      <xmlPr mapId="43" xpath="/ns1:Root/ns1:M5/ns1:Expenditures_P9" xmlDataType="double"/>
    </xmlCellPr>
  </singleXmlCell>
  <singleXmlCell id="544" xr6:uid="{00000000-000C-0000-FFFF-FFFF7B000000}" r="L97" connectionId="0">
    <xmlCellPr id="1" xr6:uid="{00000000-0010-0000-7B00-000001000000}" uniqueName="1">
      <xmlPr mapId="43" xpath="/ns1:Root/ns1:M5/ns1:Expenditures_P10" xmlDataType="double"/>
    </xmlCellPr>
  </singleXmlCell>
  <singleXmlCell id="545" xr6:uid="{00000000-000C-0000-FFFF-FFFF7C000000}" r="M97" connectionId="0">
    <xmlCellPr id="1" xr6:uid="{00000000-0010-0000-7C00-000001000000}" uniqueName="1">
      <xmlPr mapId="43" xpath="/ns1:Root/ns1:M5/ns1:Expenditures_P11" xmlDataType="double"/>
    </xmlCellPr>
  </singleXmlCell>
  <singleXmlCell id="546" xr6:uid="{00000000-000C-0000-FFFF-FFFF7D000000}" r="N97" connectionId="0">
    <xmlCellPr id="1" xr6:uid="{00000000-0010-0000-7D00-000001000000}" uniqueName="1">
      <xmlPr mapId="43" xpath="/ns1:Root/ns1:M5/ns1:Expenditures_P12" xmlDataType="double"/>
    </xmlCellPr>
  </singleXmlCell>
  <singleXmlCell id="547" xr6:uid="{00000000-000C-0000-FFFF-FFFF7E000000}" r="C108" connectionId="0">
    <xmlCellPr id="1" xr6:uid="{00000000-0010-0000-7E00-000001000000}" uniqueName="1">
      <xmlPr mapId="43" xpath="/ns1:Root/ns1:M6/ns1:HIV___AIDS_Products" xmlDataType="string"/>
    </xmlCellPr>
  </singleXmlCell>
  <singleXmlCell id="548" xr6:uid="{00000000-000C-0000-FFFF-FFFF7F000000}" r="D108" connectionId="0">
    <xmlCellPr id="1" xr6:uid="{00000000-0010-0000-7F00-000001000000}" uniqueName="1">
      <xmlPr mapId="43" xpath="/ns1:Root/ns1:M6/ns1:HIV___AIDS__1__Number_of_tablets_per_patient_per_day__Review_country_treatment_guidelines_" xmlDataType="double"/>
    </xmlCellPr>
  </singleXmlCell>
  <singleXmlCell id="549" xr6:uid="{00000000-000C-0000-FFFF-FFFF80000000}" r="F108" connectionId="0">
    <xmlCellPr id="1" xr6:uid="{00000000-0010-0000-8000-000001000000}" uniqueName="1">
      <xmlPr mapId="43" xpath="/ns1:Root/ns1:M6/ns1:HIV___AIDS__3__Total_patients_in_treatment" xmlDataType="double"/>
    </xmlCellPr>
  </singleXmlCell>
  <singleXmlCell id="550" xr6:uid="{00000000-000C-0000-FFFF-FFFF81000000}" r="H108" connectionId="0">
    <xmlCellPr id="1" xr6:uid="{00000000-0010-0000-8100-000001000000}" uniqueName="1">
      <xmlPr mapId="43" xpath="/ns1:Root/ns1:M6/ns1:HIV___AIDS__5__Current_stock_in_central_warehouse__that_does_not_expire_within_the_next_3_months_" xmlDataType="double"/>
    </xmlCellPr>
  </singleXmlCell>
  <singleXmlCell id="551" xr6:uid="{00000000-000C-0000-FFFF-FFFF82000000}" r="J108" connectionId="0">
    <xmlCellPr id="1" xr6:uid="{00000000-0010-0000-8200-000001000000}" uniqueName="1">
      <xmlPr mapId="43" xpath="/ns1:Root/ns1:M6/ns1:HIV___AIDS__7__Level_of_safety_stock__expressed_in_months_and_defined_by_country__" xmlDataType="double"/>
    </xmlCellPr>
  </singleXmlCell>
  <singleXmlCell id="552" xr6:uid="{00000000-000C-0000-FFFF-FFFF83000000}" r="C109" connectionId="0">
    <xmlCellPr id="1" xr6:uid="{00000000-0010-0000-8300-000001000000}" uniqueName="1">
      <xmlPr mapId="43" xpath="/ns1:Root/ns1:M6/ns1:_Products_1" xmlDataType="string"/>
    </xmlCellPr>
  </singleXmlCell>
  <singleXmlCell id="553" xr6:uid="{00000000-000C-0000-FFFF-FFFF84000000}" r="D109" connectionId="0">
    <xmlCellPr id="1" xr6:uid="{00000000-0010-0000-8400-000001000000}" uniqueName="1">
      <xmlPr mapId="43" xpath="/ns1:Root/ns1:M6/ns1:__1__Number_of_tablets_per_patient_per_day__Review_country_treatment_guidelines__1" xmlDataType="double"/>
    </xmlCellPr>
  </singleXmlCell>
  <singleXmlCell id="554" xr6:uid="{00000000-000C-0000-FFFF-FFFF85000000}" r="F109" connectionId="0">
    <xmlCellPr id="1" xr6:uid="{00000000-0010-0000-8500-000001000000}" uniqueName="1">
      <xmlPr mapId="43" xpath="/ns1:Root/ns1:M6/ns1:__3__Total_patients_in_treatment_1" xmlDataType="double"/>
    </xmlCellPr>
  </singleXmlCell>
  <singleXmlCell id="555" xr6:uid="{00000000-000C-0000-FFFF-FFFF86000000}" r="H109" connectionId="0">
    <xmlCellPr id="1" xr6:uid="{00000000-0010-0000-8600-000001000000}" uniqueName="1">
      <xmlPr mapId="43" xpath="/ns1:Root/ns1:M6/ns1:__5__Current_stock_in_central_warehouse__that_does_not_expire_within_the_next_3_months__1" xmlDataType="double"/>
    </xmlCellPr>
  </singleXmlCell>
  <singleXmlCell id="556" xr6:uid="{00000000-000C-0000-FFFF-FFFF87000000}" r="J109" connectionId="0">
    <xmlCellPr id="1" xr6:uid="{00000000-0010-0000-8700-000001000000}" uniqueName="1">
      <xmlPr mapId="43" xpath="/ns1:Root/ns1:M6/ns1:__7__Level_of_safety_stock__expressed_in_months_and_defined_by_country___1" xmlDataType="double"/>
    </xmlCellPr>
  </singleXmlCell>
  <singleXmlCell id="557" xr6:uid="{00000000-000C-0000-FFFF-FFFF88000000}" r="C110" connectionId="0">
    <xmlCellPr id="1" xr6:uid="{00000000-0010-0000-8800-000001000000}" uniqueName="1">
      <xmlPr mapId="43" xpath="/ns1:Root/ns1:M6/ns1:_Products_2" xmlDataType="string"/>
    </xmlCellPr>
  </singleXmlCell>
  <singleXmlCell id="558" xr6:uid="{00000000-000C-0000-FFFF-FFFF89000000}" r="D110" connectionId="0">
    <xmlCellPr id="1" xr6:uid="{00000000-0010-0000-8900-000001000000}" uniqueName="1">
      <xmlPr mapId="43" xpath="/ns1:Root/ns1:M6/ns1:__1__Number_of_tablets_per_patient_per_day__Review_country_treatment_guidelines__2" xmlDataType="double"/>
    </xmlCellPr>
  </singleXmlCell>
  <singleXmlCell id="559" xr6:uid="{00000000-000C-0000-FFFF-FFFF8A000000}" r="F110" connectionId="0">
    <xmlCellPr id="1" xr6:uid="{00000000-0010-0000-8A00-000001000000}" uniqueName="1">
      <xmlPr mapId="43" xpath="/ns1:Root/ns1:M6/ns1:__3__Total_patients_in_treatment_2" xmlDataType="double"/>
    </xmlCellPr>
  </singleXmlCell>
  <singleXmlCell id="560" xr6:uid="{00000000-000C-0000-FFFF-FFFF8B000000}" r="H110" connectionId="0">
    <xmlCellPr id="1" xr6:uid="{00000000-0010-0000-8B00-000001000000}" uniqueName="1">
      <xmlPr mapId="43" xpath="/ns1:Root/ns1:M6/ns1:__5__Current_stock_in_central_warehouse__that_does_not_expire_within_the_next_3_months__2" xmlDataType="double"/>
    </xmlCellPr>
  </singleXmlCell>
  <singleXmlCell id="561" xr6:uid="{00000000-000C-0000-FFFF-FFFF8C000000}" r="J110" connectionId="0">
    <xmlCellPr id="1" xr6:uid="{00000000-0010-0000-8C00-000001000000}" uniqueName="1">
      <xmlPr mapId="43" xpath="/ns1:Root/ns1:M6/ns1:__7__Level_of_safety_stock__expressed_in_months_and_defined_by_country___2" xmlDataType="double"/>
    </xmlCellPr>
  </singleXmlCell>
  <singleXmlCell id="562" xr6:uid="{00000000-000C-0000-FFFF-FFFF8D000000}" r="C111" connectionId="0">
    <xmlCellPr id="1" xr6:uid="{00000000-0010-0000-8D00-000001000000}" uniqueName="1">
      <xmlPr mapId="43" xpath="/ns1:Root/ns1:M6/ns1:_Products" xmlDataType="string"/>
    </xmlCellPr>
  </singleXmlCell>
  <singleXmlCell id="563" xr6:uid="{00000000-000C-0000-FFFF-FFFF8E000000}" r="D111" connectionId="0">
    <xmlCellPr id="1" xr6:uid="{00000000-0010-0000-8E00-000001000000}" uniqueName="1">
      <xmlPr mapId="43" xpath="/ns1:Root/ns1:M6/ns1:__1__Number_of_tablets_per_patient_per_day__Review_country_treatment_guidelines_" xmlDataType="double"/>
    </xmlCellPr>
  </singleXmlCell>
  <singleXmlCell id="564" xr6:uid="{00000000-000C-0000-FFFF-FFFF8F000000}" r="F111" connectionId="0">
    <xmlCellPr id="1" xr6:uid="{00000000-0010-0000-8F00-000001000000}" uniqueName="1">
      <xmlPr mapId="43" xpath="/ns1:Root/ns1:M6/ns1:__3__Total_patients_in_treatment" xmlDataType="double"/>
    </xmlCellPr>
  </singleXmlCell>
  <singleXmlCell id="565" xr6:uid="{00000000-000C-0000-FFFF-FFFF90000000}" r="H111" connectionId="0">
    <xmlCellPr id="1" xr6:uid="{00000000-0010-0000-9000-000001000000}" uniqueName="1">
      <xmlPr mapId="43" xpath="/ns1:Root/ns1:M6/ns1:__5__Current_stock_in_central_warehouse__that_does_not_expire_within_the_next_3_months_" xmlDataType="double"/>
    </xmlCellPr>
  </singleXmlCell>
  <singleXmlCell id="566" xr6:uid="{00000000-000C-0000-FFFF-FFFF91000000}" r="J111" connectionId="0">
    <xmlCellPr id="1" xr6:uid="{00000000-0010-0000-9100-000001000000}" uniqueName="1">
      <xmlPr mapId="43" xpath="/ns1:Root/ns1:M6/ns1:__7__Level_of_safety_stock__expressed_in_months_and_defined_by_country__" xmlDataType="double"/>
    </xmlCellPr>
  </singleXmlCell>
  <singleXmlCell id="567" xr6:uid="{00000000-000C-0000-FFFF-FFFF92000000}" r="H118" connectionId="0">
    <xmlCellPr id="1" xr6:uid="{00000000-0010-0000-9200-000001000000}" uniqueName="1">
      <xmlPr mapId="43" xpath="/ns1:Root/ns1:Prog/ns1:Target_P1_1" xmlDataType="double"/>
    </xmlCellPr>
  </singleXmlCell>
  <singleXmlCell id="568" xr6:uid="{00000000-000C-0000-FFFF-FFFF93000000}" r="I118" connectionId="0">
    <xmlCellPr id="1" xr6:uid="{00000000-0010-0000-9300-000001000000}" uniqueName="1">
      <xmlPr mapId="43" xpath="/ns1:Root/ns1:Prog/ns1:Target_P2_1" xmlDataType="double"/>
    </xmlCellPr>
  </singleXmlCell>
  <singleXmlCell id="569" xr6:uid="{00000000-000C-0000-FFFF-FFFF94000000}" r="J118" connectionId="0">
    <xmlCellPr id="1" xr6:uid="{00000000-0010-0000-9400-000001000000}" uniqueName="1">
      <xmlPr mapId="43" xpath="/ns1:Root/ns1:Prog/ns1:Target_P3_1" xmlDataType="double"/>
    </xmlCellPr>
  </singleXmlCell>
  <singleXmlCell id="570" xr6:uid="{00000000-000C-0000-FFFF-FFFF95000000}" r="K118" connectionId="0">
    <xmlCellPr id="1" xr6:uid="{00000000-0010-0000-9500-000001000000}" uniqueName="1">
      <xmlPr mapId="43" xpath="/ns1:Root/ns1:Prog/ns1:Target_P4_1" xmlDataType="double"/>
    </xmlCellPr>
  </singleXmlCell>
  <singleXmlCell id="571" xr6:uid="{00000000-000C-0000-FFFF-FFFF96000000}" r="L118" connectionId="0">
    <xmlCellPr id="1" xr6:uid="{00000000-0010-0000-9600-000001000000}" uniqueName="1">
      <xmlPr mapId="43" xpath="/ns1:Root/ns1:Prog/ns1:Target_P5_1" xmlDataType="double"/>
    </xmlCellPr>
  </singleXmlCell>
  <singleXmlCell id="572" xr6:uid="{00000000-000C-0000-FFFF-FFFF97000000}" r="M118" connectionId="0">
    <xmlCellPr id="1" xr6:uid="{00000000-0010-0000-9700-000001000000}" uniqueName="1">
      <xmlPr mapId="43" xpath="/ns1:Root/ns1:Prog/ns1:Target_P6_1" xmlDataType="double"/>
    </xmlCellPr>
  </singleXmlCell>
  <singleXmlCell id="573" xr6:uid="{00000000-000C-0000-FFFF-FFFF98000000}" r="N118" connectionId="0">
    <xmlCellPr id="1" xr6:uid="{00000000-0010-0000-9800-000001000000}" uniqueName="1">
      <xmlPr mapId="43" xpath="/ns1:Root/ns1:Prog/ns1:Target_P7_1" xmlDataType="double"/>
    </xmlCellPr>
  </singleXmlCell>
  <singleXmlCell id="574" xr6:uid="{00000000-000C-0000-FFFF-FFFF99000000}" r="O118" connectionId="0">
    <xmlCellPr id="1" xr6:uid="{00000000-0010-0000-9900-000001000000}" uniqueName="1">
      <xmlPr mapId="43" xpath="/ns1:Root/ns1:Prog/ns1:Target_P8_1" xmlDataType="double"/>
    </xmlCellPr>
  </singleXmlCell>
  <singleXmlCell id="575" xr6:uid="{00000000-000C-0000-FFFF-FFFF9A000000}" r="P118" connectionId="0">
    <xmlCellPr id="1" xr6:uid="{00000000-0010-0000-9A00-000001000000}" uniqueName="1">
      <xmlPr mapId="43" xpath="/ns1:Root/ns1:Prog/ns1:Target_P9_1" xmlDataType="double"/>
    </xmlCellPr>
  </singleXmlCell>
  <singleXmlCell id="576" xr6:uid="{00000000-000C-0000-FFFF-FFFF9B000000}" r="Q118" connectionId="0">
    <xmlCellPr id="1" xr6:uid="{00000000-0010-0000-9B00-000001000000}" uniqueName="1">
      <xmlPr mapId="43" xpath="/ns1:Root/ns1:Prog/ns1:Target_P10_1" xmlDataType="double"/>
    </xmlCellPr>
  </singleXmlCell>
  <singleXmlCell id="577" xr6:uid="{00000000-000C-0000-FFFF-FFFF9C000000}" r="R118" connectionId="0">
    <xmlCellPr id="1" xr6:uid="{00000000-0010-0000-9C00-000001000000}" uniqueName="1">
      <xmlPr mapId="43" xpath="/ns1:Root/ns1:Prog/ns1:Target_P11_1" xmlDataType="double"/>
    </xmlCellPr>
  </singleXmlCell>
  <singleXmlCell id="578" xr6:uid="{00000000-000C-0000-FFFF-FFFF9D000000}" r="S118" connectionId="0">
    <xmlCellPr id="1" xr6:uid="{00000000-0010-0000-9D00-000001000000}" uniqueName="1">
      <xmlPr mapId="43" xpath="/ns1:Root/ns1:Prog/ns1:Target_P12_1" xmlDataType="double"/>
    </xmlCellPr>
  </singleXmlCell>
  <singleXmlCell id="579" xr6:uid="{00000000-000C-0000-FFFF-FFFF9E000000}" r="H119" connectionId="0">
    <xmlCellPr id="1" xr6:uid="{00000000-0010-0000-9E00-000001000000}" uniqueName="1">
      <xmlPr mapId="43" xpath="/ns1:Root/ns1:Prog/ns1:Achieved__P1_1" xmlDataType="double"/>
    </xmlCellPr>
  </singleXmlCell>
  <singleXmlCell id="580" xr6:uid="{00000000-000C-0000-FFFF-FFFF9F000000}" r="I119" connectionId="0">
    <xmlCellPr id="1" xr6:uid="{00000000-0010-0000-9F00-000001000000}" uniqueName="1">
      <xmlPr mapId="43" xpath="/ns1:Root/ns1:Prog/ns1:Achieved__P2_1" xmlDataType="double"/>
    </xmlCellPr>
  </singleXmlCell>
  <singleXmlCell id="581" xr6:uid="{00000000-000C-0000-FFFF-FFFFA0000000}" r="J119" connectionId="0">
    <xmlCellPr id="1" xr6:uid="{00000000-0010-0000-A000-000001000000}" uniqueName="1">
      <xmlPr mapId="43" xpath="/ns1:Root/ns1:Prog/ns1:Achieved__P3_1" xmlDataType="double"/>
    </xmlCellPr>
  </singleXmlCell>
  <singleXmlCell id="582" xr6:uid="{00000000-000C-0000-FFFF-FFFFA1000000}" r="K119" connectionId="0">
    <xmlCellPr id="1" xr6:uid="{00000000-0010-0000-A100-000001000000}" uniqueName="1">
      <xmlPr mapId="43" xpath="/ns1:Root/ns1:Prog/ns1:Achieved__P4_1" xmlDataType="double"/>
    </xmlCellPr>
  </singleXmlCell>
  <singleXmlCell id="583" xr6:uid="{00000000-000C-0000-FFFF-FFFFA2000000}" r="L119" connectionId="0">
    <xmlCellPr id="1" xr6:uid="{00000000-0010-0000-A200-000001000000}" uniqueName="1">
      <xmlPr mapId="43" xpath="/ns1:Root/ns1:Prog/ns1:Achieved__P5_1" xmlDataType="string"/>
    </xmlCellPr>
  </singleXmlCell>
  <singleXmlCell id="584" xr6:uid="{00000000-000C-0000-FFFF-FFFFA3000000}" r="M119" connectionId="0">
    <xmlCellPr id="1" xr6:uid="{00000000-0010-0000-A300-000001000000}" uniqueName="1">
      <xmlPr mapId="43" xpath="/ns1:Root/ns1:Prog/ns1:Achieved__P6_1" xmlDataType="string"/>
    </xmlCellPr>
  </singleXmlCell>
  <singleXmlCell id="585" xr6:uid="{00000000-000C-0000-FFFF-FFFFA4000000}" r="N119" connectionId="0">
    <xmlCellPr id="1" xr6:uid="{00000000-0010-0000-A400-000001000000}" uniqueName="1">
      <xmlPr mapId="43" xpath="/ns1:Root/ns1:Prog/ns1:Achieved__P7_1" xmlDataType="string"/>
    </xmlCellPr>
  </singleXmlCell>
  <singleXmlCell id="586" xr6:uid="{00000000-000C-0000-FFFF-FFFFA5000000}" r="O119" connectionId="0">
    <xmlCellPr id="1" xr6:uid="{00000000-0010-0000-A500-000001000000}" uniqueName="1">
      <xmlPr mapId="43" xpath="/ns1:Root/ns1:Prog/ns1:Achieved__P8_1" xmlDataType="string"/>
    </xmlCellPr>
  </singleXmlCell>
  <singleXmlCell id="587" xr6:uid="{00000000-000C-0000-FFFF-FFFFA6000000}" r="P119" connectionId="0">
    <xmlCellPr id="1" xr6:uid="{00000000-0010-0000-A600-000001000000}" uniqueName="1">
      <xmlPr mapId="43" xpath="/ns1:Root/ns1:Prog/ns1:Achieved__P9_1" xmlDataType="string"/>
    </xmlCellPr>
  </singleXmlCell>
  <singleXmlCell id="588" xr6:uid="{00000000-000C-0000-FFFF-FFFFA7000000}" r="Q119" connectionId="0">
    <xmlCellPr id="1" xr6:uid="{00000000-0010-0000-A700-000001000000}" uniqueName="1">
      <xmlPr mapId="43" xpath="/ns1:Root/ns1:Prog/ns1:Achieved__P10_1" xmlDataType="string"/>
    </xmlCellPr>
  </singleXmlCell>
  <singleXmlCell id="589" xr6:uid="{00000000-000C-0000-FFFF-FFFFA8000000}" r="R119" connectionId="0">
    <xmlCellPr id="1" xr6:uid="{00000000-0010-0000-A800-000001000000}" uniqueName="1">
      <xmlPr mapId="43" xpath="/ns1:Root/ns1:Prog/ns1:Achieved__P11_1" xmlDataType="string"/>
    </xmlCellPr>
  </singleXmlCell>
  <singleXmlCell id="590" xr6:uid="{00000000-000C-0000-FFFF-FFFFA9000000}" r="S119" connectionId="0">
    <xmlCellPr id="1" xr6:uid="{00000000-0010-0000-A900-000001000000}" uniqueName="1">
      <xmlPr mapId="43" xpath="/ns1:Root/ns1:Prog/ns1:Achieved__P12_1" xmlDataType="string"/>
    </xmlCellPr>
  </singleXmlCell>
  <singleXmlCell id="591" xr6:uid="{00000000-000C-0000-FFFF-FFFFAA000000}" r="H120" connectionId="0">
    <xmlCellPr id="1" xr6:uid="{00000000-0010-0000-AA00-000001000000}" uniqueName="1">
      <xmlPr mapId="43" xpath="/ns1:Root/ns1:Prog/ns1:Target_P1_2" xmlDataType="double"/>
    </xmlCellPr>
  </singleXmlCell>
  <singleXmlCell id="592" xr6:uid="{00000000-000C-0000-FFFF-FFFFAB000000}" r="I120" connectionId="0">
    <xmlCellPr id="1" xr6:uid="{00000000-0010-0000-AB00-000001000000}" uniqueName="1">
      <xmlPr mapId="43" xpath="/ns1:Root/ns1:Prog/ns1:Target_P2_2" xmlDataType="double"/>
    </xmlCellPr>
  </singleXmlCell>
  <singleXmlCell id="593" xr6:uid="{00000000-000C-0000-FFFF-FFFFAC000000}" r="J120" connectionId="0">
    <xmlCellPr id="1" xr6:uid="{00000000-0010-0000-AC00-000001000000}" uniqueName="1">
      <xmlPr mapId="43" xpath="/ns1:Root/ns1:Prog/ns1:Target_P3_2" xmlDataType="double"/>
    </xmlCellPr>
  </singleXmlCell>
  <singleXmlCell id="594" xr6:uid="{00000000-000C-0000-FFFF-FFFFAD000000}" r="L120" connectionId="0">
    <xmlCellPr id="1" xr6:uid="{00000000-0010-0000-AD00-000001000000}" uniqueName="1">
      <xmlPr mapId="43" xpath="/ns1:Root/ns1:Prog/ns1:Target_P5_2" xmlDataType="double"/>
    </xmlCellPr>
  </singleXmlCell>
  <singleXmlCell id="595" xr6:uid="{00000000-000C-0000-FFFF-FFFFAE000000}" r="M120" connectionId="0">
    <xmlCellPr id="1" xr6:uid="{00000000-0010-0000-AE00-000001000000}" uniqueName="1">
      <xmlPr mapId="43" xpath="/ns1:Root/ns1:Prog/ns1:Target_P6_2" xmlDataType="double"/>
    </xmlCellPr>
  </singleXmlCell>
  <singleXmlCell id="596" xr6:uid="{00000000-000C-0000-FFFF-FFFFAF000000}" r="N120" connectionId="0">
    <xmlCellPr id="1" xr6:uid="{00000000-0010-0000-AF00-000001000000}" uniqueName="1">
      <xmlPr mapId="43" xpath="/ns1:Root/ns1:Prog/ns1:Target_P7_2" xmlDataType="double"/>
    </xmlCellPr>
  </singleXmlCell>
  <singleXmlCell id="597" xr6:uid="{00000000-000C-0000-FFFF-FFFFB0000000}" r="O120" connectionId="0">
    <xmlCellPr id="1" xr6:uid="{00000000-0010-0000-B000-000001000000}" uniqueName="1">
      <xmlPr mapId="43" xpath="/ns1:Root/ns1:Prog/ns1:Target_P8_2" xmlDataType="double"/>
    </xmlCellPr>
  </singleXmlCell>
  <singleXmlCell id="598" xr6:uid="{00000000-000C-0000-FFFF-FFFFB1000000}" r="P120" connectionId="0">
    <xmlCellPr id="1" xr6:uid="{00000000-0010-0000-B100-000001000000}" uniqueName="1">
      <xmlPr mapId="43" xpath="/ns1:Root/ns1:Prog/ns1:Target_P9_2" xmlDataType="double"/>
    </xmlCellPr>
  </singleXmlCell>
  <singleXmlCell id="599" xr6:uid="{00000000-000C-0000-FFFF-FFFFB2000000}" r="Q120" connectionId="0">
    <xmlCellPr id="1" xr6:uid="{00000000-0010-0000-B200-000001000000}" uniqueName="1">
      <xmlPr mapId="43" xpath="/ns1:Root/ns1:Prog/ns1:Target_P10_2" xmlDataType="double"/>
    </xmlCellPr>
  </singleXmlCell>
  <singleXmlCell id="600" xr6:uid="{00000000-000C-0000-FFFF-FFFFB3000000}" r="R120" connectionId="0">
    <xmlCellPr id="1" xr6:uid="{00000000-0010-0000-B300-000001000000}" uniqueName="1">
      <xmlPr mapId="43" xpath="/ns1:Root/ns1:Prog/ns1:Target_P11_2" xmlDataType="double"/>
    </xmlCellPr>
  </singleXmlCell>
  <singleXmlCell id="601" xr6:uid="{00000000-000C-0000-FFFF-FFFFB4000000}" r="S120" connectionId="0">
    <xmlCellPr id="1" xr6:uid="{00000000-0010-0000-B400-000001000000}" uniqueName="1">
      <xmlPr mapId="43" xpath="/ns1:Root/ns1:Prog/ns1:Target_P12_2" xmlDataType="double"/>
    </xmlCellPr>
  </singleXmlCell>
  <singleXmlCell id="602" xr6:uid="{00000000-000C-0000-FFFF-FFFFB5000000}" r="H121" connectionId="0">
    <xmlCellPr id="1" xr6:uid="{00000000-0010-0000-B500-000001000000}" uniqueName="1">
      <xmlPr mapId="43" xpath="/ns1:Root/ns1:Prog/ns1:Achieved__P1_2" xmlDataType="double"/>
    </xmlCellPr>
  </singleXmlCell>
  <singleXmlCell id="603" xr6:uid="{00000000-000C-0000-FFFF-FFFFB6000000}" r="I121" connectionId="0">
    <xmlCellPr id="1" xr6:uid="{00000000-0010-0000-B600-000001000000}" uniqueName="1">
      <xmlPr mapId="43" xpath="/ns1:Root/ns1:Prog/ns1:Achieved__P2_2" xmlDataType="double"/>
    </xmlCellPr>
  </singleXmlCell>
  <singleXmlCell id="604" xr6:uid="{00000000-000C-0000-FFFF-FFFFB7000000}" r="J121" connectionId="0">
    <xmlCellPr id="1" xr6:uid="{00000000-0010-0000-B700-000001000000}" uniqueName="1">
      <xmlPr mapId="43" xpath="/ns1:Root/ns1:Prog/ns1:Achieved__P3_2" xmlDataType="double"/>
    </xmlCellPr>
  </singleXmlCell>
  <singleXmlCell id="605" xr6:uid="{00000000-000C-0000-FFFF-FFFFB8000000}" r="K121" connectionId="0">
    <xmlCellPr id="1" xr6:uid="{00000000-0010-0000-B800-000001000000}" uniqueName="1">
      <xmlPr mapId="43" xpath="/ns1:Root/ns1:Prog/ns1:Achieved__P4_2" xmlDataType="double"/>
    </xmlCellPr>
  </singleXmlCell>
  <singleXmlCell id="606" xr6:uid="{00000000-000C-0000-FFFF-FFFFB9000000}" r="L121" connectionId="0">
    <xmlCellPr id="1" xr6:uid="{00000000-0010-0000-B900-000001000000}" uniqueName="1">
      <xmlPr mapId="43" xpath="/ns1:Root/ns1:Prog/ns1:Achieved__P5_2" xmlDataType="string"/>
    </xmlCellPr>
  </singleXmlCell>
  <singleXmlCell id="607" xr6:uid="{00000000-000C-0000-FFFF-FFFFBA000000}" r="M121" connectionId="0">
    <xmlCellPr id="1" xr6:uid="{00000000-0010-0000-BA00-000001000000}" uniqueName="1">
      <xmlPr mapId="43" xpath="/ns1:Root/ns1:Prog/ns1:Achieved__P6_2" xmlDataType="string"/>
    </xmlCellPr>
  </singleXmlCell>
  <singleXmlCell id="608" xr6:uid="{00000000-000C-0000-FFFF-FFFFBB000000}" r="N121" connectionId="0">
    <xmlCellPr id="1" xr6:uid="{00000000-0010-0000-BB00-000001000000}" uniqueName="1">
      <xmlPr mapId="43" xpath="/ns1:Root/ns1:Prog/ns1:Achieved__P7_2" xmlDataType="string"/>
    </xmlCellPr>
  </singleXmlCell>
  <singleXmlCell id="609" xr6:uid="{00000000-000C-0000-FFFF-FFFFBC000000}" r="O121" connectionId="0">
    <xmlCellPr id="1" xr6:uid="{00000000-0010-0000-BC00-000001000000}" uniqueName="1">
      <xmlPr mapId="43" xpath="/ns1:Root/ns1:Prog/ns1:Achieved__P8_2" xmlDataType="string"/>
    </xmlCellPr>
  </singleXmlCell>
  <singleXmlCell id="610" xr6:uid="{00000000-000C-0000-FFFF-FFFFBD000000}" r="P121" connectionId="0">
    <xmlCellPr id="1" xr6:uid="{00000000-0010-0000-BD00-000001000000}" uniqueName="1">
      <xmlPr mapId="43" xpath="/ns1:Root/ns1:Prog/ns1:Achieved__P9_2" xmlDataType="string"/>
    </xmlCellPr>
  </singleXmlCell>
  <singleXmlCell id="611" xr6:uid="{00000000-000C-0000-FFFF-FFFFBE000000}" r="Q121" connectionId="0">
    <xmlCellPr id="1" xr6:uid="{00000000-0010-0000-BE00-000001000000}" uniqueName="1">
      <xmlPr mapId="43" xpath="/ns1:Root/ns1:Prog/ns1:Achieved__P10_2" xmlDataType="string"/>
    </xmlCellPr>
  </singleXmlCell>
  <singleXmlCell id="612" xr6:uid="{00000000-000C-0000-FFFF-FFFFBF000000}" r="R121" connectionId="0">
    <xmlCellPr id="1" xr6:uid="{00000000-0010-0000-BF00-000001000000}" uniqueName="1">
      <xmlPr mapId="43" xpath="/ns1:Root/ns1:Prog/ns1:Achieved__P11_2" xmlDataType="string"/>
    </xmlCellPr>
  </singleXmlCell>
  <singleXmlCell id="613" xr6:uid="{00000000-000C-0000-FFFF-FFFFC0000000}" r="S121" connectionId="0">
    <xmlCellPr id="1" xr6:uid="{00000000-0010-0000-C000-000001000000}" uniqueName="1">
      <xmlPr mapId="43" xpath="/ns1:Root/ns1:Prog/ns1:Achieved__P12_2" xmlDataType="string"/>
    </xmlCellPr>
  </singleXmlCell>
  <singleXmlCell id="614" xr6:uid="{00000000-000C-0000-FFFF-FFFFC1000000}" r="H122" connectionId="0">
    <xmlCellPr id="1" xr6:uid="{00000000-0010-0000-C100-000001000000}" uniqueName="1">
      <xmlPr mapId="43" xpath="/ns1:Root/ns1:Prog/ns1:Target_P1_3" xmlDataType="double"/>
    </xmlCellPr>
  </singleXmlCell>
  <singleXmlCell id="615" xr6:uid="{00000000-000C-0000-FFFF-FFFFC2000000}" r="I122" connectionId="0">
    <xmlCellPr id="1" xr6:uid="{00000000-0010-0000-C200-000001000000}" uniqueName="1">
      <xmlPr mapId="43" xpath="/ns1:Root/ns1:Prog/ns1:Target_P2_3" xmlDataType="double"/>
    </xmlCellPr>
  </singleXmlCell>
  <singleXmlCell id="616" xr6:uid="{00000000-000C-0000-FFFF-FFFFC3000000}" r="J122" connectionId="0">
    <xmlCellPr id="1" xr6:uid="{00000000-0010-0000-C300-000001000000}" uniqueName="1">
      <xmlPr mapId="43" xpath="/ns1:Root/ns1:Prog/ns1:Target_P3_3" xmlDataType="double"/>
    </xmlCellPr>
  </singleXmlCell>
  <singleXmlCell id="617" xr6:uid="{00000000-000C-0000-FFFF-FFFFC4000000}" r="K122" connectionId="0">
    <xmlCellPr id="1" xr6:uid="{00000000-0010-0000-C400-000001000000}" uniqueName="1">
      <xmlPr mapId="43" xpath="/ns1:Root/ns1:Prog/ns1:Target_P4_3" xmlDataType="double"/>
    </xmlCellPr>
  </singleXmlCell>
  <singleXmlCell id="618" xr6:uid="{00000000-000C-0000-FFFF-FFFFC5000000}" r="L122" connectionId="0">
    <xmlCellPr id="1" xr6:uid="{00000000-0010-0000-C500-000001000000}" uniqueName="1">
      <xmlPr mapId="43" xpath="/ns1:Root/ns1:Prog/ns1:Target_P5_3" xmlDataType="double"/>
    </xmlCellPr>
  </singleXmlCell>
  <singleXmlCell id="619" xr6:uid="{00000000-000C-0000-FFFF-FFFFC6000000}" r="M122" connectionId="0">
    <xmlCellPr id="1" xr6:uid="{00000000-0010-0000-C600-000001000000}" uniqueName="1">
      <xmlPr mapId="43" xpath="/ns1:Root/ns1:Prog/ns1:Target_P6_3" xmlDataType="double"/>
    </xmlCellPr>
  </singleXmlCell>
  <singleXmlCell id="620" xr6:uid="{00000000-000C-0000-FFFF-FFFFC7000000}" r="N122" connectionId="0">
    <xmlCellPr id="1" xr6:uid="{00000000-0010-0000-C700-000001000000}" uniqueName="1">
      <xmlPr mapId="43" xpath="/ns1:Root/ns1:Prog/ns1:Target_P7_3" xmlDataType="double"/>
    </xmlCellPr>
  </singleXmlCell>
  <singleXmlCell id="621" xr6:uid="{00000000-000C-0000-FFFF-FFFFC8000000}" r="O122" connectionId="0">
    <xmlCellPr id="1" xr6:uid="{00000000-0010-0000-C800-000001000000}" uniqueName="1">
      <xmlPr mapId="43" xpath="/ns1:Root/ns1:Prog/ns1:Target_P8_3" xmlDataType="double"/>
    </xmlCellPr>
  </singleXmlCell>
  <singleXmlCell id="622" xr6:uid="{00000000-000C-0000-FFFF-FFFFC9000000}" r="P122" connectionId="0">
    <xmlCellPr id="1" xr6:uid="{00000000-0010-0000-C900-000001000000}" uniqueName="1">
      <xmlPr mapId="43" xpath="/ns1:Root/ns1:Prog/ns1:Target_P9_3" xmlDataType="double"/>
    </xmlCellPr>
  </singleXmlCell>
  <singleXmlCell id="623" xr6:uid="{00000000-000C-0000-FFFF-FFFFCA000000}" r="Q122" connectionId="0">
    <xmlCellPr id="1" xr6:uid="{00000000-0010-0000-CA00-000001000000}" uniqueName="1">
      <xmlPr mapId="43" xpath="/ns1:Root/ns1:Prog/ns1:Target_P10_3" xmlDataType="string"/>
    </xmlCellPr>
  </singleXmlCell>
  <singleXmlCell id="624" xr6:uid="{00000000-000C-0000-FFFF-FFFFCB000000}" r="R122" connectionId="0">
    <xmlCellPr id="1" xr6:uid="{00000000-0010-0000-CB00-000001000000}" uniqueName="1">
      <xmlPr mapId="43" xpath="/ns1:Root/ns1:Prog/ns1:Target_P11_3" xmlDataType="string"/>
    </xmlCellPr>
  </singleXmlCell>
  <singleXmlCell id="625" xr6:uid="{00000000-000C-0000-FFFF-FFFFCC000000}" r="S122" connectionId="0">
    <xmlCellPr id="1" xr6:uid="{00000000-0010-0000-CC00-000001000000}" uniqueName="1">
      <xmlPr mapId="43" xpath="/ns1:Root/ns1:Prog/ns1:Target_P12_3" xmlDataType="double"/>
    </xmlCellPr>
  </singleXmlCell>
  <singleXmlCell id="626" xr6:uid="{00000000-000C-0000-FFFF-FFFFCD000000}" r="H123" connectionId="0">
    <xmlCellPr id="1" xr6:uid="{00000000-0010-0000-CD00-000001000000}" uniqueName="1">
      <xmlPr mapId="43" xpath="/ns1:Root/ns1:Prog/ns1:Achieved__P1_3" xmlDataType="string"/>
    </xmlCellPr>
  </singleXmlCell>
  <singleXmlCell id="627" xr6:uid="{00000000-000C-0000-FFFF-FFFFCE000000}" r="I123" connectionId="0">
    <xmlCellPr id="1" xr6:uid="{00000000-0010-0000-CE00-000001000000}" uniqueName="1">
      <xmlPr mapId="43" xpath="/ns1:Root/ns1:Prog/ns1:Achieved__P2_3" xmlDataType="double"/>
    </xmlCellPr>
  </singleXmlCell>
  <singleXmlCell id="628" xr6:uid="{00000000-000C-0000-FFFF-FFFFCF000000}" r="J123" connectionId="0">
    <xmlCellPr id="1" xr6:uid="{00000000-0010-0000-CF00-000001000000}" uniqueName="1">
      <xmlPr mapId="43" xpath="/ns1:Root/ns1:Prog/ns1:Achieved__P3_3" xmlDataType="string"/>
    </xmlCellPr>
  </singleXmlCell>
  <singleXmlCell id="629" xr6:uid="{00000000-000C-0000-FFFF-FFFFD0000000}" r="K123" connectionId="0">
    <xmlCellPr id="1" xr6:uid="{00000000-0010-0000-D000-000001000000}" uniqueName="1">
      <xmlPr mapId="43" xpath="/ns1:Root/ns1:Prog/ns1:Achieved__P4_3" xmlDataType="double"/>
    </xmlCellPr>
  </singleXmlCell>
  <singleXmlCell id="630" xr6:uid="{00000000-000C-0000-FFFF-FFFFD1000000}" r="L123" connectionId="0">
    <xmlCellPr id="1" xr6:uid="{00000000-0010-0000-D100-000001000000}" uniqueName="1">
      <xmlPr mapId="43" xpath="/ns1:Root/ns1:Prog/ns1:Achieved__P5_3" xmlDataType="string"/>
    </xmlCellPr>
  </singleXmlCell>
  <singleXmlCell id="631" xr6:uid="{00000000-000C-0000-FFFF-FFFFD2000000}" r="M123" connectionId="0">
    <xmlCellPr id="1" xr6:uid="{00000000-0010-0000-D200-000001000000}" uniqueName="1">
      <xmlPr mapId="43" xpath="/ns1:Root/ns1:Prog/ns1:Achieved__P6_3" xmlDataType="string"/>
    </xmlCellPr>
  </singleXmlCell>
  <singleXmlCell id="632" xr6:uid="{00000000-000C-0000-FFFF-FFFFD3000000}" r="N123" connectionId="0">
    <xmlCellPr id="1" xr6:uid="{00000000-0010-0000-D300-000001000000}" uniqueName="1">
      <xmlPr mapId="43" xpath="/ns1:Root/ns1:Prog/ns1:Achieved__P7_3" xmlDataType="string"/>
    </xmlCellPr>
  </singleXmlCell>
  <singleXmlCell id="633" xr6:uid="{00000000-000C-0000-FFFF-FFFFD4000000}" r="O123" connectionId="0">
    <xmlCellPr id="1" xr6:uid="{00000000-0010-0000-D400-000001000000}" uniqueName="1">
      <xmlPr mapId="43" xpath="/ns1:Root/ns1:Prog/ns1:Achieved__P8_3" xmlDataType="string"/>
    </xmlCellPr>
  </singleXmlCell>
  <singleXmlCell id="634" xr6:uid="{00000000-000C-0000-FFFF-FFFFD5000000}" r="P123" connectionId="0">
    <xmlCellPr id="1" xr6:uid="{00000000-0010-0000-D500-000001000000}" uniqueName="1">
      <xmlPr mapId="43" xpath="/ns1:Root/ns1:Prog/ns1:Achieved__P9_3" xmlDataType="string"/>
    </xmlCellPr>
  </singleXmlCell>
  <singleXmlCell id="635" xr6:uid="{00000000-000C-0000-FFFF-FFFFD6000000}" r="Q123" connectionId="0">
    <xmlCellPr id="1" xr6:uid="{00000000-0010-0000-D600-000001000000}" uniqueName="1">
      <xmlPr mapId="43" xpath="/ns1:Root/ns1:Prog/ns1:Achieved__P10_3" xmlDataType="string"/>
    </xmlCellPr>
  </singleXmlCell>
  <singleXmlCell id="636" xr6:uid="{00000000-000C-0000-FFFF-FFFFD7000000}" r="R123" connectionId="0">
    <xmlCellPr id="1" xr6:uid="{00000000-0010-0000-D700-000001000000}" uniqueName="1">
      <xmlPr mapId="43" xpath="/ns1:Root/ns1:Prog/ns1:Achieved__P11_3" xmlDataType="string"/>
    </xmlCellPr>
  </singleXmlCell>
  <singleXmlCell id="637" xr6:uid="{00000000-000C-0000-FFFF-FFFFD8000000}" r="S123" connectionId="0">
    <xmlCellPr id="1" xr6:uid="{00000000-0010-0000-D800-000001000000}" uniqueName="1">
      <xmlPr mapId="43" xpath="/ns1:Root/ns1:Prog/ns1:Achieved__P12_3" xmlDataType="string"/>
    </xmlCellPr>
  </singleXmlCell>
  <singleXmlCell id="638" xr6:uid="{00000000-000C-0000-FFFF-FFFFD9000000}" r="H124" connectionId="0">
    <xmlCellPr id="1" xr6:uid="{00000000-0010-0000-D900-000001000000}" uniqueName="1">
      <xmlPr mapId="43" xpath="/ns1:Root/ns1:Prog/ns1:Target_P1_4" xmlDataType="string"/>
    </xmlCellPr>
  </singleXmlCell>
  <singleXmlCell id="639" xr6:uid="{00000000-000C-0000-FFFF-FFFFDA000000}" r="I124" connectionId="0">
    <xmlCellPr id="1" xr6:uid="{00000000-0010-0000-DA00-000001000000}" uniqueName="1">
      <xmlPr mapId="43" xpath="/ns1:Root/ns1:Prog/ns1:Target_P2_4" xmlDataType="string"/>
    </xmlCellPr>
  </singleXmlCell>
  <singleXmlCell id="640" xr6:uid="{00000000-000C-0000-FFFF-FFFFDB000000}" r="J124" connectionId="0">
    <xmlCellPr id="1" xr6:uid="{00000000-0010-0000-DB00-000001000000}" uniqueName="1">
      <xmlPr mapId="43" xpath="/ns1:Root/ns1:Prog/ns1:Target_P3_4" xmlDataType="string"/>
    </xmlCellPr>
  </singleXmlCell>
  <singleXmlCell id="641" xr6:uid="{00000000-000C-0000-FFFF-FFFFDC000000}" r="K124" connectionId="0">
    <xmlCellPr id="1" xr6:uid="{00000000-0010-0000-DC00-000001000000}" uniqueName="1">
      <xmlPr mapId="43" xpath="/ns1:Root/ns1:Prog/ns1:Target_P4_4" xmlDataType="double"/>
    </xmlCellPr>
  </singleXmlCell>
  <singleXmlCell id="642" xr6:uid="{00000000-000C-0000-FFFF-FFFFDD000000}" r="L124" connectionId="0">
    <xmlCellPr id="1" xr6:uid="{00000000-0010-0000-DD00-000001000000}" uniqueName="1">
      <xmlPr mapId="43" xpath="/ns1:Root/ns1:Prog/ns1:Target_P5_4" xmlDataType="string"/>
    </xmlCellPr>
  </singleXmlCell>
  <singleXmlCell id="643" xr6:uid="{00000000-000C-0000-FFFF-FFFFDE000000}" r="M124" connectionId="0">
    <xmlCellPr id="1" xr6:uid="{00000000-0010-0000-DE00-000001000000}" uniqueName="1">
      <xmlPr mapId="43" xpath="/ns1:Root/ns1:Prog/ns1:Target_P6_4" xmlDataType="string"/>
    </xmlCellPr>
  </singleXmlCell>
  <singleXmlCell id="644" xr6:uid="{00000000-000C-0000-FFFF-FFFFDF000000}" r="N124" connectionId="0">
    <xmlCellPr id="1" xr6:uid="{00000000-0010-0000-DF00-000001000000}" uniqueName="1">
      <xmlPr mapId="43" xpath="/ns1:Root/ns1:Prog/ns1:Target_P7_4" xmlDataType="string"/>
    </xmlCellPr>
  </singleXmlCell>
  <singleXmlCell id="645" xr6:uid="{00000000-000C-0000-FFFF-FFFFE0000000}" r="O124" connectionId="0">
    <xmlCellPr id="1" xr6:uid="{00000000-0010-0000-E000-000001000000}" uniqueName="1">
      <xmlPr mapId="43" xpath="/ns1:Root/ns1:Prog/ns1:Target_P8_4" xmlDataType="double"/>
    </xmlCellPr>
  </singleXmlCell>
  <singleXmlCell id="646" xr6:uid="{00000000-000C-0000-FFFF-FFFFE1000000}" r="P124" connectionId="0">
    <xmlCellPr id="1" xr6:uid="{00000000-0010-0000-E100-000001000000}" uniqueName="1">
      <xmlPr mapId="43" xpath="/ns1:Root/ns1:Prog/ns1:Target_P9_4" xmlDataType="string"/>
    </xmlCellPr>
  </singleXmlCell>
  <singleXmlCell id="647" xr6:uid="{00000000-000C-0000-FFFF-FFFFE2000000}" r="Q124" connectionId="0">
    <xmlCellPr id="1" xr6:uid="{00000000-0010-0000-E200-000001000000}" uniqueName="1">
      <xmlPr mapId="43" xpath="/ns1:Root/ns1:Prog/ns1:Target_P10_4" xmlDataType="string"/>
    </xmlCellPr>
  </singleXmlCell>
  <singleXmlCell id="648" xr6:uid="{00000000-000C-0000-FFFF-FFFFE3000000}" r="R124" connectionId="0">
    <xmlCellPr id="1" xr6:uid="{00000000-0010-0000-E300-000001000000}" uniqueName="1">
      <xmlPr mapId="43" xpath="/ns1:Root/ns1:Prog/ns1:Target_P11_4" xmlDataType="string"/>
    </xmlCellPr>
  </singleXmlCell>
  <singleXmlCell id="649" xr6:uid="{00000000-000C-0000-FFFF-FFFFE4000000}" r="S124" connectionId="0">
    <xmlCellPr id="1" xr6:uid="{00000000-0010-0000-E400-000001000000}" uniqueName="1">
      <xmlPr mapId="43" xpath="/ns1:Root/ns1:Prog/ns1:Target_P12_4" xmlDataType="double"/>
    </xmlCellPr>
  </singleXmlCell>
  <singleXmlCell id="650" xr6:uid="{00000000-000C-0000-FFFF-FFFFE5000000}" r="H125" connectionId="0">
    <xmlCellPr id="1" xr6:uid="{00000000-0010-0000-E500-000001000000}" uniqueName="1">
      <xmlPr mapId="43" xpath="/ns1:Root/ns1:Prog/ns1:Achieved__P1_4" xmlDataType="string"/>
    </xmlCellPr>
  </singleXmlCell>
  <singleXmlCell id="651" xr6:uid="{00000000-000C-0000-FFFF-FFFFE6000000}" r="I125" connectionId="0">
    <xmlCellPr id="1" xr6:uid="{00000000-0010-0000-E600-000001000000}" uniqueName="1">
      <xmlPr mapId="43" xpath="/ns1:Root/ns1:Prog/ns1:Achieved__P2_4" xmlDataType="string"/>
    </xmlCellPr>
  </singleXmlCell>
  <singleXmlCell id="652" xr6:uid="{00000000-000C-0000-FFFF-FFFFE7000000}" r="J125" connectionId="0">
    <xmlCellPr id="1" xr6:uid="{00000000-0010-0000-E700-000001000000}" uniqueName="1">
      <xmlPr mapId="43" xpath="/ns1:Root/ns1:Prog/ns1:Achieved__P3_4" xmlDataType="string"/>
    </xmlCellPr>
  </singleXmlCell>
  <singleXmlCell id="653" xr6:uid="{00000000-000C-0000-FFFF-FFFFE8000000}" r="K125" connectionId="0">
    <xmlCellPr id="1" xr6:uid="{00000000-0010-0000-E800-000001000000}" uniqueName="1">
      <xmlPr mapId="43" xpath="/ns1:Root/ns1:Prog/ns1:Achieved__P4_4" xmlDataType="double"/>
    </xmlCellPr>
  </singleXmlCell>
  <singleXmlCell id="654" xr6:uid="{00000000-000C-0000-FFFF-FFFFE9000000}" r="L125" connectionId="0">
    <xmlCellPr id="1" xr6:uid="{00000000-0010-0000-E900-000001000000}" uniqueName="1">
      <xmlPr mapId="43" xpath="/ns1:Root/ns1:Prog/ns1:Achieved__P5_4" xmlDataType="string"/>
    </xmlCellPr>
  </singleXmlCell>
  <singleXmlCell id="655" xr6:uid="{00000000-000C-0000-FFFF-FFFFEA000000}" r="M125" connectionId="0">
    <xmlCellPr id="1" xr6:uid="{00000000-0010-0000-EA00-000001000000}" uniqueName="1">
      <xmlPr mapId="43" xpath="/ns1:Root/ns1:Prog/ns1:Achieved__P6_4" xmlDataType="string"/>
    </xmlCellPr>
  </singleXmlCell>
  <singleXmlCell id="656" xr6:uid="{00000000-000C-0000-FFFF-FFFFEB000000}" r="N125" connectionId="0">
    <xmlCellPr id="1" xr6:uid="{00000000-0010-0000-EB00-000001000000}" uniqueName="1">
      <xmlPr mapId="43" xpath="/ns1:Root/ns1:Prog/ns1:Achieved__P7_4" xmlDataType="string"/>
    </xmlCellPr>
  </singleXmlCell>
  <singleXmlCell id="657" xr6:uid="{00000000-000C-0000-FFFF-FFFFEC000000}" r="O125" connectionId="0">
    <xmlCellPr id="1" xr6:uid="{00000000-0010-0000-EC00-000001000000}" uniqueName="1">
      <xmlPr mapId="43" xpath="/ns1:Root/ns1:Prog/ns1:Achieved__P8_4" xmlDataType="string"/>
    </xmlCellPr>
  </singleXmlCell>
  <singleXmlCell id="658" xr6:uid="{00000000-000C-0000-FFFF-FFFFED000000}" r="P125" connectionId="0">
    <xmlCellPr id="1" xr6:uid="{00000000-0010-0000-ED00-000001000000}" uniqueName="1">
      <xmlPr mapId="43" xpath="/ns1:Root/ns1:Prog/ns1:Achieved__P9_4" xmlDataType="string"/>
    </xmlCellPr>
  </singleXmlCell>
  <singleXmlCell id="659" xr6:uid="{00000000-000C-0000-FFFF-FFFFEE000000}" r="Q125" connectionId="0">
    <xmlCellPr id="1" xr6:uid="{00000000-0010-0000-EE00-000001000000}" uniqueName="1">
      <xmlPr mapId="43" xpath="/ns1:Root/ns1:Prog/ns1:Achieved__P10_4" xmlDataType="string"/>
    </xmlCellPr>
  </singleXmlCell>
  <singleXmlCell id="660" xr6:uid="{00000000-000C-0000-FFFF-FFFFEF000000}" r="R125" connectionId="0">
    <xmlCellPr id="1" xr6:uid="{00000000-0010-0000-EF00-000001000000}" uniqueName="1">
      <xmlPr mapId="43" xpath="/ns1:Root/ns1:Prog/ns1:Achieved__P11_4" xmlDataType="string"/>
    </xmlCellPr>
  </singleXmlCell>
  <singleXmlCell id="661" xr6:uid="{00000000-000C-0000-FFFF-FFFFF0000000}" r="S125" connectionId="0">
    <xmlCellPr id="1" xr6:uid="{00000000-0010-0000-F000-000001000000}" uniqueName="1">
      <xmlPr mapId="43" xpath="/ns1:Root/ns1:Prog/ns1:Achieved__P12_4" xmlDataType="string"/>
    </xmlCellPr>
  </singleXmlCell>
  <singleXmlCell id="662" xr6:uid="{00000000-000C-0000-FFFF-FFFFF1000000}" r="H126" connectionId="0">
    <xmlCellPr id="1" xr6:uid="{00000000-0010-0000-F100-000001000000}" uniqueName="1">
      <xmlPr mapId="43" xpath="/ns1:Root/ns1:Prog/ns1:Target_P1_5" xmlDataType="double"/>
    </xmlCellPr>
  </singleXmlCell>
  <singleXmlCell id="663" xr6:uid="{00000000-000C-0000-FFFF-FFFFF2000000}" r="I126" connectionId="0">
    <xmlCellPr id="1" xr6:uid="{00000000-0010-0000-F200-000001000000}" uniqueName="1">
      <xmlPr mapId="43" xpath="/ns1:Root/ns1:Prog/ns1:Target_P2_5" xmlDataType="double"/>
    </xmlCellPr>
  </singleXmlCell>
  <singleXmlCell id="664" xr6:uid="{00000000-000C-0000-FFFF-FFFFF3000000}" r="J126" connectionId="0">
    <xmlCellPr id="1" xr6:uid="{00000000-0010-0000-F300-000001000000}" uniqueName="1">
      <xmlPr mapId="43" xpath="/ns1:Root/ns1:Prog/ns1:Target_P3_5" xmlDataType="double"/>
    </xmlCellPr>
  </singleXmlCell>
  <singleXmlCell id="665" xr6:uid="{00000000-000C-0000-FFFF-FFFFF4000000}" r="K126" connectionId="0">
    <xmlCellPr id="1" xr6:uid="{00000000-0010-0000-F400-000001000000}" uniqueName="1">
      <xmlPr mapId="43" xpath="/ns1:Root/ns1:Prog/ns1:Target_P4_5" xmlDataType="double"/>
    </xmlCellPr>
  </singleXmlCell>
  <singleXmlCell id="666" xr6:uid="{00000000-000C-0000-FFFF-FFFFF5000000}" r="L126" connectionId="0">
    <xmlCellPr id="1" xr6:uid="{00000000-0010-0000-F500-000001000000}" uniqueName="1">
      <xmlPr mapId="43" xpath="/ns1:Root/ns1:Prog/ns1:Target_P5_5" xmlDataType="double"/>
    </xmlCellPr>
  </singleXmlCell>
  <singleXmlCell id="667" xr6:uid="{00000000-000C-0000-FFFF-FFFFF6000000}" r="M126" connectionId="0">
    <xmlCellPr id="1" xr6:uid="{00000000-0010-0000-F600-000001000000}" uniqueName="1">
      <xmlPr mapId="43" xpath="/ns1:Root/ns1:Prog/ns1:Target_P6_5" xmlDataType="double"/>
    </xmlCellPr>
  </singleXmlCell>
  <singleXmlCell id="668" xr6:uid="{00000000-000C-0000-FFFF-FFFFF7000000}" r="N126" connectionId="0">
    <xmlCellPr id="1" xr6:uid="{00000000-0010-0000-F700-000001000000}" uniqueName="1">
      <xmlPr mapId="43" xpath="/ns1:Root/ns1:Prog/ns1:Target_P7_5" xmlDataType="double"/>
    </xmlCellPr>
  </singleXmlCell>
  <singleXmlCell id="669" xr6:uid="{00000000-000C-0000-FFFF-FFFFF8000000}" r="O126" connectionId="0">
    <xmlCellPr id="1" xr6:uid="{00000000-0010-0000-F800-000001000000}" uniqueName="1">
      <xmlPr mapId="43" xpath="/ns1:Root/ns1:Prog/ns1:Target_P8_5" xmlDataType="double"/>
    </xmlCellPr>
  </singleXmlCell>
  <singleXmlCell id="670" xr6:uid="{00000000-000C-0000-FFFF-FFFFF9000000}" r="P126" connectionId="0">
    <xmlCellPr id="1" xr6:uid="{00000000-0010-0000-F900-000001000000}" uniqueName="1">
      <xmlPr mapId="43" xpath="/ns1:Root/ns1:Prog/ns1:Target_P9_5" xmlDataType="double"/>
    </xmlCellPr>
  </singleXmlCell>
  <singleXmlCell id="671" xr6:uid="{00000000-000C-0000-FFFF-FFFFFA000000}" r="Q126" connectionId="0">
    <xmlCellPr id="1" xr6:uid="{00000000-0010-0000-FA00-000001000000}" uniqueName="1">
      <xmlPr mapId="43" xpath="/ns1:Root/ns1:Prog/ns1:Target_P10_5" xmlDataType="double"/>
    </xmlCellPr>
  </singleXmlCell>
  <singleXmlCell id="672" xr6:uid="{00000000-000C-0000-FFFF-FFFFFB000000}" r="R126" connectionId="0">
    <xmlCellPr id="1" xr6:uid="{00000000-0010-0000-FB00-000001000000}" uniqueName="1">
      <xmlPr mapId="43" xpath="/ns1:Root/ns1:Prog/ns1:Target_P11_5" xmlDataType="double"/>
    </xmlCellPr>
  </singleXmlCell>
  <singleXmlCell id="673" xr6:uid="{00000000-000C-0000-FFFF-FFFFFC000000}" r="S126" connectionId="0">
    <xmlCellPr id="1" xr6:uid="{00000000-0010-0000-FC00-000001000000}" uniqueName="1">
      <xmlPr mapId="43" xpath="/ns1:Root/ns1:Prog/ns1:Target_P12_5" xmlDataType="double"/>
    </xmlCellPr>
  </singleXmlCell>
  <singleXmlCell id="674" xr6:uid="{00000000-000C-0000-FFFF-FFFFFD000000}" r="H127" connectionId="0">
    <xmlCellPr id="1" xr6:uid="{00000000-0010-0000-FD00-000001000000}" uniqueName="1">
      <xmlPr mapId="43" xpath="/ns1:Root/ns1:Prog/ns1:Achieved__P1_5" xmlDataType="double"/>
    </xmlCellPr>
  </singleXmlCell>
  <singleXmlCell id="675" xr6:uid="{00000000-000C-0000-FFFF-FFFFFE000000}" r="I127" connectionId="0">
    <xmlCellPr id="1" xr6:uid="{00000000-0010-0000-FE00-000001000000}" uniqueName="1">
      <xmlPr mapId="43" xpath="/ns1:Root/ns1:Prog/ns1:Achieved__P2_5" xmlDataType="double"/>
    </xmlCellPr>
  </singleXmlCell>
  <singleXmlCell id="676" xr6:uid="{00000000-000C-0000-FFFF-FFFFFF000000}" r="J127" connectionId="0">
    <xmlCellPr id="1" xr6:uid="{00000000-0010-0000-FF00-000001000000}" uniqueName="1">
      <xmlPr mapId="43" xpath="/ns1:Root/ns1:Prog/ns1:Achieved__P3_5" xmlDataType="double"/>
    </xmlCellPr>
  </singleXmlCell>
  <singleXmlCell id="677" xr6:uid="{00000000-000C-0000-FFFF-FFFF00010000}" r="K127" connectionId="0">
    <xmlCellPr id="1" xr6:uid="{00000000-0010-0000-0001-000001000000}" uniqueName="1">
      <xmlPr mapId="43" xpath="/ns1:Root/ns1:Prog/ns1:Achieved__P4_5" xmlDataType="double"/>
    </xmlCellPr>
  </singleXmlCell>
  <singleXmlCell id="678" xr6:uid="{00000000-000C-0000-FFFF-FFFF01010000}" r="L127" connectionId="0">
    <xmlCellPr id="1" xr6:uid="{00000000-0010-0000-0101-000001000000}" uniqueName="1">
      <xmlPr mapId="43" xpath="/ns1:Root/ns1:Prog/ns1:Achieved__P5_5" xmlDataType="string"/>
    </xmlCellPr>
  </singleXmlCell>
  <singleXmlCell id="679" xr6:uid="{00000000-000C-0000-FFFF-FFFF02010000}" r="M127" connectionId="0">
    <xmlCellPr id="1" xr6:uid="{00000000-0010-0000-0201-000001000000}" uniqueName="1">
      <xmlPr mapId="43" xpath="/ns1:Root/ns1:Prog/ns1:Achieved__P6_5" xmlDataType="string"/>
    </xmlCellPr>
  </singleXmlCell>
  <singleXmlCell id="680" xr6:uid="{00000000-000C-0000-FFFF-FFFF03010000}" r="N127" connectionId="0">
    <xmlCellPr id="1" xr6:uid="{00000000-0010-0000-0301-000001000000}" uniqueName="1">
      <xmlPr mapId="43" xpath="/ns1:Root/ns1:Prog/ns1:Achieved__P7_5" xmlDataType="string"/>
    </xmlCellPr>
  </singleXmlCell>
  <singleXmlCell id="681" xr6:uid="{00000000-000C-0000-FFFF-FFFF04010000}" r="O127" connectionId="0">
    <xmlCellPr id="1" xr6:uid="{00000000-0010-0000-0401-000001000000}" uniqueName="1">
      <xmlPr mapId="43" xpath="/ns1:Root/ns1:Prog/ns1:Achieved__P8_5" xmlDataType="string"/>
    </xmlCellPr>
  </singleXmlCell>
  <singleXmlCell id="682" xr6:uid="{00000000-000C-0000-FFFF-FFFF05010000}" r="P127" connectionId="0">
    <xmlCellPr id="1" xr6:uid="{00000000-0010-0000-0501-000001000000}" uniqueName="1">
      <xmlPr mapId="43" xpath="/ns1:Root/ns1:Prog/ns1:Achieved__P9_5" xmlDataType="string"/>
    </xmlCellPr>
  </singleXmlCell>
  <singleXmlCell id="683" xr6:uid="{00000000-000C-0000-FFFF-FFFF06010000}" r="Q127" connectionId="0">
    <xmlCellPr id="1" xr6:uid="{00000000-0010-0000-0601-000001000000}" uniqueName="1">
      <xmlPr mapId="43" xpath="/ns1:Root/ns1:Prog/ns1:Achieved__P10_5" xmlDataType="string"/>
    </xmlCellPr>
  </singleXmlCell>
  <singleXmlCell id="684" xr6:uid="{00000000-000C-0000-FFFF-FFFF07010000}" r="R127" connectionId="0">
    <xmlCellPr id="1" xr6:uid="{00000000-0010-0000-0701-000001000000}" uniqueName="1">
      <xmlPr mapId="43" xpath="/ns1:Root/ns1:Prog/ns1:Achieved__P11_5" xmlDataType="string"/>
    </xmlCellPr>
  </singleXmlCell>
  <singleXmlCell id="685" xr6:uid="{00000000-000C-0000-FFFF-FFFF08010000}" r="S127" connectionId="0">
    <xmlCellPr id="1" xr6:uid="{00000000-0010-0000-0801-000001000000}" uniqueName="1">
      <xmlPr mapId="43" xpath="/ns1:Root/ns1:Prog/ns1:Achieved__P12_5" xmlDataType="string"/>
    </xmlCellPr>
  </singleXmlCell>
  <singleXmlCell id="686" xr6:uid="{00000000-000C-0000-FFFF-FFFF09010000}" r="H128" connectionId="0">
    <xmlCellPr id="1" xr6:uid="{00000000-0010-0000-0901-000001000000}" uniqueName="1">
      <xmlPr mapId="43" xpath="/ns1:Root/ns1:Prog/ns1:Target_P1_6" xmlDataType="double"/>
    </xmlCellPr>
  </singleXmlCell>
  <singleXmlCell id="687" xr6:uid="{00000000-000C-0000-FFFF-FFFF0A010000}" r="I128" connectionId="0">
    <xmlCellPr id="1" xr6:uid="{00000000-0010-0000-0A01-000001000000}" uniqueName="1">
      <xmlPr mapId="43" xpath="/ns1:Root/ns1:Prog/ns1:Target_P2_6" xmlDataType="double"/>
    </xmlCellPr>
  </singleXmlCell>
  <singleXmlCell id="688" xr6:uid="{00000000-000C-0000-FFFF-FFFF0B010000}" r="J128" connectionId="0">
    <xmlCellPr id="1" xr6:uid="{00000000-0010-0000-0B01-000001000000}" uniqueName="1">
      <xmlPr mapId="43" xpath="/ns1:Root/ns1:Prog/ns1:Target_P3_6" xmlDataType="double"/>
    </xmlCellPr>
  </singleXmlCell>
  <singleXmlCell id="689" xr6:uid="{00000000-000C-0000-FFFF-FFFF0C010000}" r="K128" connectionId="0">
    <xmlCellPr id="1" xr6:uid="{00000000-0010-0000-0C01-000001000000}" uniqueName="1">
      <xmlPr mapId="43" xpath="/ns1:Root/ns1:Prog/ns1:Target_P4_6" xmlDataType="double"/>
    </xmlCellPr>
  </singleXmlCell>
  <singleXmlCell id="690" xr6:uid="{00000000-000C-0000-FFFF-FFFF0D010000}" r="L128" connectionId="0">
    <xmlCellPr id="1" xr6:uid="{00000000-0010-0000-0D01-000001000000}" uniqueName="1">
      <xmlPr mapId="43" xpath="/ns1:Root/ns1:Prog/ns1:Target_P5_6" xmlDataType="double"/>
    </xmlCellPr>
  </singleXmlCell>
  <singleXmlCell id="691" xr6:uid="{00000000-000C-0000-FFFF-FFFF0E010000}" r="M128" connectionId="0">
    <xmlCellPr id="1" xr6:uid="{00000000-0010-0000-0E01-000001000000}" uniqueName="1">
      <xmlPr mapId="43" xpath="/ns1:Root/ns1:Prog/ns1:Target_P6_6" xmlDataType="double"/>
    </xmlCellPr>
  </singleXmlCell>
  <singleXmlCell id="692" xr6:uid="{00000000-000C-0000-FFFF-FFFF0F010000}" r="N128" connectionId="0">
    <xmlCellPr id="1" xr6:uid="{00000000-0010-0000-0F01-000001000000}" uniqueName="1">
      <xmlPr mapId="43" xpath="/ns1:Root/ns1:Prog/ns1:Target_P7_6" xmlDataType="double"/>
    </xmlCellPr>
  </singleXmlCell>
  <singleXmlCell id="693" xr6:uid="{00000000-000C-0000-FFFF-FFFF10010000}" r="O128" connectionId="0">
    <xmlCellPr id="1" xr6:uid="{00000000-0010-0000-1001-000001000000}" uniqueName="1">
      <xmlPr mapId="43" xpath="/ns1:Root/ns1:Prog/ns1:Target_P8_6" xmlDataType="double"/>
    </xmlCellPr>
  </singleXmlCell>
  <singleXmlCell id="694" xr6:uid="{00000000-000C-0000-FFFF-FFFF11010000}" r="P128" connectionId="0">
    <xmlCellPr id="1" xr6:uid="{00000000-0010-0000-1101-000001000000}" uniqueName="1">
      <xmlPr mapId="43" xpath="/ns1:Root/ns1:Prog/ns1:Target_P9_6" xmlDataType="double"/>
    </xmlCellPr>
  </singleXmlCell>
  <singleXmlCell id="695" xr6:uid="{00000000-000C-0000-FFFF-FFFF12010000}" r="Q128" connectionId="0">
    <xmlCellPr id="1" xr6:uid="{00000000-0010-0000-1201-000001000000}" uniqueName="1">
      <xmlPr mapId="43" xpath="/ns1:Root/ns1:Prog/ns1:Target_P10_6" xmlDataType="double"/>
    </xmlCellPr>
  </singleXmlCell>
  <singleXmlCell id="696" xr6:uid="{00000000-000C-0000-FFFF-FFFF13010000}" r="R128" connectionId="0">
    <xmlCellPr id="1" xr6:uid="{00000000-0010-0000-1301-000001000000}" uniqueName="1">
      <xmlPr mapId="43" xpath="/ns1:Root/ns1:Prog/ns1:Target_P11_6" xmlDataType="double"/>
    </xmlCellPr>
  </singleXmlCell>
  <singleXmlCell id="697" xr6:uid="{00000000-000C-0000-FFFF-FFFF14010000}" r="S128" connectionId="0">
    <xmlCellPr id="1" xr6:uid="{00000000-0010-0000-1401-000001000000}" uniqueName="1">
      <xmlPr mapId="43" xpath="/ns1:Root/ns1:Prog/ns1:Target_P12_6" xmlDataType="double"/>
    </xmlCellPr>
  </singleXmlCell>
  <singleXmlCell id="698" xr6:uid="{00000000-000C-0000-FFFF-FFFF15010000}" r="H129" connectionId="0">
    <xmlCellPr id="1" xr6:uid="{00000000-0010-0000-1501-000001000000}" uniqueName="1">
      <xmlPr mapId="43" xpath="/ns1:Root/ns1:Prog/ns1:Achieved__P1_6" xmlDataType="double"/>
    </xmlCellPr>
  </singleXmlCell>
  <singleXmlCell id="699" xr6:uid="{00000000-000C-0000-FFFF-FFFF16010000}" r="I129" connectionId="0">
    <xmlCellPr id="1" xr6:uid="{00000000-0010-0000-1601-000001000000}" uniqueName="1">
      <xmlPr mapId="43" xpath="/ns1:Root/ns1:Prog/ns1:Achieved__P2_6" xmlDataType="double"/>
    </xmlCellPr>
  </singleXmlCell>
  <singleXmlCell id="700" xr6:uid="{00000000-000C-0000-FFFF-FFFF17010000}" r="J129" connectionId="0">
    <xmlCellPr id="1" xr6:uid="{00000000-0010-0000-1701-000001000000}" uniqueName="1">
      <xmlPr mapId="43" xpath="/ns1:Root/ns1:Prog/ns1:Achieved__P3_6" xmlDataType="double"/>
    </xmlCellPr>
  </singleXmlCell>
  <singleXmlCell id="701" xr6:uid="{00000000-000C-0000-FFFF-FFFF18010000}" r="K129" connectionId="0">
    <xmlCellPr id="1" xr6:uid="{00000000-0010-0000-1801-000001000000}" uniqueName="1">
      <xmlPr mapId="43" xpath="/ns1:Root/ns1:Prog/ns1:Achieved__P4_6" xmlDataType="double"/>
    </xmlCellPr>
  </singleXmlCell>
  <singleXmlCell id="702" xr6:uid="{00000000-000C-0000-FFFF-FFFF19010000}" r="L129" connectionId="0">
    <xmlCellPr id="1" xr6:uid="{00000000-0010-0000-1901-000001000000}" uniqueName="1">
      <xmlPr mapId="43" xpath="/ns1:Root/ns1:Prog/ns1:Achieved__P5_6" xmlDataType="string"/>
    </xmlCellPr>
  </singleXmlCell>
  <singleXmlCell id="703" xr6:uid="{00000000-000C-0000-FFFF-FFFF1A010000}" r="M129" connectionId="0">
    <xmlCellPr id="1" xr6:uid="{00000000-0010-0000-1A01-000001000000}" uniqueName="1">
      <xmlPr mapId="43" xpath="/ns1:Root/ns1:Prog/ns1:Achieved__P6_6" xmlDataType="string"/>
    </xmlCellPr>
  </singleXmlCell>
  <singleXmlCell id="704" xr6:uid="{00000000-000C-0000-FFFF-FFFF1B010000}" r="N129" connectionId="0">
    <xmlCellPr id="1" xr6:uid="{00000000-0010-0000-1B01-000001000000}" uniqueName="1">
      <xmlPr mapId="43" xpath="/ns1:Root/ns1:Prog/ns1:Achieved__P7_6" xmlDataType="string"/>
    </xmlCellPr>
  </singleXmlCell>
  <singleXmlCell id="705" xr6:uid="{00000000-000C-0000-FFFF-FFFF1C010000}" r="O129" connectionId="0">
    <xmlCellPr id="1" xr6:uid="{00000000-0010-0000-1C01-000001000000}" uniqueName="1">
      <xmlPr mapId="43" xpath="/ns1:Root/ns1:Prog/ns1:Achieved__P8_6" xmlDataType="string"/>
    </xmlCellPr>
  </singleXmlCell>
  <singleXmlCell id="706" xr6:uid="{00000000-000C-0000-FFFF-FFFF1D010000}" r="P129" connectionId="0">
    <xmlCellPr id="1" xr6:uid="{00000000-0010-0000-1D01-000001000000}" uniqueName="1">
      <xmlPr mapId="43" xpath="/ns1:Root/ns1:Prog/ns1:Achieved__P9_6" xmlDataType="string"/>
    </xmlCellPr>
  </singleXmlCell>
  <singleXmlCell id="707" xr6:uid="{00000000-000C-0000-FFFF-FFFF1E010000}" r="Q129" connectionId="0">
    <xmlCellPr id="1" xr6:uid="{00000000-0010-0000-1E01-000001000000}" uniqueName="1">
      <xmlPr mapId="43" xpath="/ns1:Root/ns1:Prog/ns1:Achieved__P10_6" xmlDataType="string"/>
    </xmlCellPr>
  </singleXmlCell>
  <singleXmlCell id="708" xr6:uid="{00000000-000C-0000-FFFF-FFFF1F010000}" r="R129" connectionId="0">
    <xmlCellPr id="1" xr6:uid="{00000000-0010-0000-1F01-000001000000}" uniqueName="1">
      <xmlPr mapId="43" xpath="/ns1:Root/ns1:Prog/ns1:Achieved__P11_6" xmlDataType="string"/>
    </xmlCellPr>
  </singleXmlCell>
  <singleXmlCell id="709" xr6:uid="{00000000-000C-0000-FFFF-FFFF20010000}" r="S129" connectionId="0">
    <xmlCellPr id="1" xr6:uid="{00000000-0010-0000-2001-000001000000}" uniqueName="1">
      <xmlPr mapId="43" xpath="/ns1:Root/ns1:Prog/ns1:Achieved__P12_6" xmlDataType="string"/>
    </xmlCellPr>
  </singleXmlCell>
  <singleXmlCell id="710" xr6:uid="{00000000-000C-0000-FFFF-FFFF21010000}" r="H130" connectionId="0">
    <xmlCellPr id="1" xr6:uid="{00000000-0010-0000-2101-000001000000}" uniqueName="1">
      <xmlPr mapId="43" xpath="/ns1:Root/ns1:Prog/ns1:Target_P1_7" xmlDataType="double"/>
    </xmlCellPr>
  </singleXmlCell>
  <singleXmlCell id="711" xr6:uid="{00000000-000C-0000-FFFF-FFFF22010000}" r="I130" connectionId="0">
    <xmlCellPr id="1" xr6:uid="{00000000-0010-0000-2201-000001000000}" uniqueName="1">
      <xmlPr mapId="43" xpath="/ns1:Root/ns1:Prog/ns1:Target_P2_7" xmlDataType="double"/>
    </xmlCellPr>
  </singleXmlCell>
  <singleXmlCell id="712" xr6:uid="{00000000-000C-0000-FFFF-FFFF23010000}" r="J130" connectionId="0">
    <xmlCellPr id="1" xr6:uid="{00000000-0010-0000-2301-000001000000}" uniqueName="1">
      <xmlPr mapId="43" xpath="/ns1:Root/ns1:Prog/ns1:Target_P3_7" xmlDataType="double"/>
    </xmlCellPr>
  </singleXmlCell>
  <singleXmlCell id="713" xr6:uid="{00000000-000C-0000-FFFF-FFFF24010000}" r="K130" connectionId="0">
    <xmlCellPr id="1" xr6:uid="{00000000-0010-0000-2401-000001000000}" uniqueName="1">
      <xmlPr mapId="43" xpath="/ns1:Root/ns1:Prog/ns1:Target_P4_7" xmlDataType="double"/>
    </xmlCellPr>
  </singleXmlCell>
  <singleXmlCell id="714" xr6:uid="{00000000-000C-0000-FFFF-FFFF25010000}" r="L130" connectionId="0">
    <xmlCellPr id="1" xr6:uid="{00000000-0010-0000-2501-000001000000}" uniqueName="1">
      <xmlPr mapId="43" xpath="/ns1:Root/ns1:Prog/ns1:Target_P5_7" xmlDataType="double"/>
    </xmlCellPr>
  </singleXmlCell>
  <singleXmlCell id="715" xr6:uid="{00000000-000C-0000-FFFF-FFFF26010000}" r="M130" connectionId="0">
    <xmlCellPr id="1" xr6:uid="{00000000-0010-0000-2601-000001000000}" uniqueName="1">
      <xmlPr mapId="43" xpath="/ns1:Root/ns1:Prog/ns1:Target_P6_7" xmlDataType="double"/>
    </xmlCellPr>
  </singleXmlCell>
  <singleXmlCell id="716" xr6:uid="{00000000-000C-0000-FFFF-FFFF27010000}" r="N130" connectionId="0">
    <xmlCellPr id="1" xr6:uid="{00000000-0010-0000-2701-000001000000}" uniqueName="1">
      <xmlPr mapId="43" xpath="/ns1:Root/ns1:Prog/ns1:Target_P7_7" xmlDataType="double"/>
    </xmlCellPr>
  </singleXmlCell>
  <singleXmlCell id="717" xr6:uid="{00000000-000C-0000-FFFF-FFFF28010000}" r="O130" connectionId="0">
    <xmlCellPr id="1" xr6:uid="{00000000-0010-0000-2801-000001000000}" uniqueName="1">
      <xmlPr mapId="43" xpath="/ns1:Root/ns1:Prog/ns1:Target_P8_7" xmlDataType="double"/>
    </xmlCellPr>
  </singleXmlCell>
  <singleXmlCell id="718" xr6:uid="{00000000-000C-0000-FFFF-FFFF29010000}" r="P130" connectionId="0">
    <xmlCellPr id="1" xr6:uid="{00000000-0010-0000-2901-000001000000}" uniqueName="1">
      <xmlPr mapId="43" xpath="/ns1:Root/ns1:Prog/ns1:Target_P9_7" xmlDataType="double"/>
    </xmlCellPr>
  </singleXmlCell>
  <singleXmlCell id="719" xr6:uid="{00000000-000C-0000-FFFF-FFFF2A010000}" r="Q130" connectionId="0">
    <xmlCellPr id="1" xr6:uid="{00000000-0010-0000-2A01-000001000000}" uniqueName="1">
      <xmlPr mapId="43" xpath="/ns1:Root/ns1:Prog/ns1:Target_P10_7" xmlDataType="double"/>
    </xmlCellPr>
  </singleXmlCell>
  <singleXmlCell id="720" xr6:uid="{00000000-000C-0000-FFFF-FFFF2B010000}" r="R130" connectionId="0">
    <xmlCellPr id="1" xr6:uid="{00000000-0010-0000-2B01-000001000000}" uniqueName="1">
      <xmlPr mapId="43" xpath="/ns1:Root/ns1:Prog/ns1:Target_P11_7" xmlDataType="double"/>
    </xmlCellPr>
  </singleXmlCell>
  <singleXmlCell id="721" xr6:uid="{00000000-000C-0000-FFFF-FFFF2C010000}" r="S130" connectionId="0">
    <xmlCellPr id="1" xr6:uid="{00000000-0010-0000-2C01-000001000000}" uniqueName="1">
      <xmlPr mapId="43" xpath="/ns1:Root/ns1:Prog/ns1:Target_P12_7" xmlDataType="double"/>
    </xmlCellPr>
  </singleXmlCell>
  <singleXmlCell id="722" xr6:uid="{00000000-000C-0000-FFFF-FFFF2D010000}" r="H131" connectionId="0">
    <xmlCellPr id="1" xr6:uid="{00000000-0010-0000-2D01-000001000000}" uniqueName="1">
      <xmlPr mapId="43" xpath="/ns1:Root/ns1:Prog/ns1:Achieved__P1_7" xmlDataType="double"/>
    </xmlCellPr>
  </singleXmlCell>
  <singleXmlCell id="723" xr6:uid="{00000000-000C-0000-FFFF-FFFF2E010000}" r="I131" connectionId="0">
    <xmlCellPr id="1" xr6:uid="{00000000-0010-0000-2E01-000001000000}" uniqueName="1">
      <xmlPr mapId="43" xpath="/ns1:Root/ns1:Prog/ns1:Achieved__P2_7" xmlDataType="double"/>
    </xmlCellPr>
  </singleXmlCell>
  <singleXmlCell id="724" xr6:uid="{00000000-000C-0000-FFFF-FFFF2F010000}" r="J131" connectionId="0">
    <xmlCellPr id="1" xr6:uid="{00000000-0010-0000-2F01-000001000000}" uniqueName="1">
      <xmlPr mapId="43" xpath="/ns1:Root/ns1:Prog/ns1:Achieved__P3_7" xmlDataType="double"/>
    </xmlCellPr>
  </singleXmlCell>
  <singleXmlCell id="725" xr6:uid="{00000000-000C-0000-FFFF-FFFF30010000}" r="K131" connectionId="0">
    <xmlCellPr id="1" xr6:uid="{00000000-0010-0000-3001-000001000000}" uniqueName="1">
      <xmlPr mapId="43" xpath="/ns1:Root/ns1:Prog/ns1:Achieved__P4_7" xmlDataType="double"/>
    </xmlCellPr>
  </singleXmlCell>
  <singleXmlCell id="726" xr6:uid="{00000000-000C-0000-FFFF-FFFF31010000}" r="L131" connectionId="0">
    <xmlCellPr id="1" xr6:uid="{00000000-0010-0000-3101-000001000000}" uniqueName="1">
      <xmlPr mapId="43" xpath="/ns1:Root/ns1:Prog/ns1:Achieved__P5_7" xmlDataType="string"/>
    </xmlCellPr>
  </singleXmlCell>
  <singleXmlCell id="727" xr6:uid="{00000000-000C-0000-FFFF-FFFF32010000}" r="M131" connectionId="0">
    <xmlCellPr id="1" xr6:uid="{00000000-0010-0000-3201-000001000000}" uniqueName="1">
      <xmlPr mapId="43" xpath="/ns1:Root/ns1:Prog/ns1:Achieved__P6_7" xmlDataType="string"/>
    </xmlCellPr>
  </singleXmlCell>
  <singleXmlCell id="728" xr6:uid="{00000000-000C-0000-FFFF-FFFF33010000}" r="N131" connectionId="0">
    <xmlCellPr id="1" xr6:uid="{00000000-0010-0000-3301-000001000000}" uniqueName="1">
      <xmlPr mapId="43" xpath="/ns1:Root/ns1:Prog/ns1:Achieved__P7_7" xmlDataType="string"/>
    </xmlCellPr>
  </singleXmlCell>
  <singleXmlCell id="729" xr6:uid="{00000000-000C-0000-FFFF-FFFF34010000}" r="O131" connectionId="0">
    <xmlCellPr id="1" xr6:uid="{00000000-0010-0000-3401-000001000000}" uniqueName="1">
      <xmlPr mapId="43" xpath="/ns1:Root/ns1:Prog/ns1:Achieved__P8_7" xmlDataType="string"/>
    </xmlCellPr>
  </singleXmlCell>
  <singleXmlCell id="730" xr6:uid="{00000000-000C-0000-FFFF-FFFF35010000}" r="P131" connectionId="0">
    <xmlCellPr id="1" xr6:uid="{00000000-0010-0000-3501-000001000000}" uniqueName="1">
      <xmlPr mapId="43" xpath="/ns1:Root/ns1:Prog/ns1:Achieved__P9_7" xmlDataType="string"/>
    </xmlCellPr>
  </singleXmlCell>
  <singleXmlCell id="731" xr6:uid="{00000000-000C-0000-FFFF-FFFF36010000}" r="Q131" connectionId="0">
    <xmlCellPr id="1" xr6:uid="{00000000-0010-0000-3601-000001000000}" uniqueName="1">
      <xmlPr mapId="43" xpath="/ns1:Root/ns1:Prog/ns1:Achieved__P10_7" xmlDataType="string"/>
    </xmlCellPr>
  </singleXmlCell>
  <singleXmlCell id="732" xr6:uid="{00000000-000C-0000-FFFF-FFFF37010000}" r="R131" connectionId="0">
    <xmlCellPr id="1" xr6:uid="{00000000-0010-0000-3701-000001000000}" uniqueName="1">
      <xmlPr mapId="43" xpath="/ns1:Root/ns1:Prog/ns1:Achieved__P11_7" xmlDataType="string"/>
    </xmlCellPr>
  </singleXmlCell>
  <singleXmlCell id="733" xr6:uid="{00000000-000C-0000-FFFF-FFFF38010000}" r="S131" connectionId="0">
    <xmlCellPr id="1" xr6:uid="{00000000-0010-0000-3801-000001000000}" uniqueName="1">
      <xmlPr mapId="43" xpath="/ns1:Root/ns1:Prog/ns1:Achieved__P12_7" xmlDataType="string"/>
    </xmlCellPr>
  </singleXmlCell>
  <singleXmlCell id="734" xr6:uid="{00000000-000C-0000-FFFF-FFFF39010000}" r="H132" connectionId="0">
    <xmlCellPr id="1" xr6:uid="{00000000-0010-0000-3901-000001000000}" uniqueName="1">
      <xmlPr mapId="43" xpath="/ns1:Root/ns1:Prog/ns1:Target_P1_8" xmlDataType="string"/>
    </xmlCellPr>
  </singleXmlCell>
  <singleXmlCell id="735" xr6:uid="{00000000-000C-0000-FFFF-FFFF3A010000}" r="I132" connectionId="0">
    <xmlCellPr id="1" xr6:uid="{00000000-0010-0000-3A01-000001000000}" uniqueName="1">
      <xmlPr mapId="43" xpath="/ns1:Root/ns1:Prog/ns1:Target_P2_8" xmlDataType="double"/>
    </xmlCellPr>
  </singleXmlCell>
  <singleXmlCell id="736" xr6:uid="{00000000-000C-0000-FFFF-FFFF3B010000}" r="J132" connectionId="0">
    <xmlCellPr id="1" xr6:uid="{00000000-0010-0000-3B01-000001000000}" uniqueName="1">
      <xmlPr mapId="43" xpath="/ns1:Root/ns1:Prog/ns1:Target_P3_8" xmlDataType="string"/>
    </xmlCellPr>
  </singleXmlCell>
  <singleXmlCell id="737" xr6:uid="{00000000-000C-0000-FFFF-FFFF3C010000}" r="K132" connectionId="0">
    <xmlCellPr id="1" xr6:uid="{00000000-0010-0000-3C01-000001000000}" uniqueName="1">
      <xmlPr mapId="43" xpath="/ns1:Root/ns1:Prog/ns1:Target_P4_8" xmlDataType="double"/>
    </xmlCellPr>
  </singleXmlCell>
  <singleXmlCell id="738" xr6:uid="{00000000-000C-0000-FFFF-FFFF3D010000}" r="L132" connectionId="0">
    <xmlCellPr id="1" xr6:uid="{00000000-0010-0000-3D01-000001000000}" uniqueName="1">
      <xmlPr mapId="43" xpath="/ns1:Root/ns1:Prog/ns1:Target_P5_8" xmlDataType="string"/>
    </xmlCellPr>
  </singleXmlCell>
  <singleXmlCell id="739" xr6:uid="{00000000-000C-0000-FFFF-FFFF3E010000}" r="M132" connectionId="0">
    <xmlCellPr id="1" xr6:uid="{00000000-0010-0000-3E01-000001000000}" uniqueName="1">
      <xmlPr mapId="43" xpath="/ns1:Root/ns1:Prog/ns1:Target_P6_8" xmlDataType="double"/>
    </xmlCellPr>
  </singleXmlCell>
  <singleXmlCell id="740" xr6:uid="{00000000-000C-0000-FFFF-FFFF3F010000}" r="N132" connectionId="0">
    <xmlCellPr id="1" xr6:uid="{00000000-0010-0000-3F01-000001000000}" uniqueName="1">
      <xmlPr mapId="43" xpath="/ns1:Root/ns1:Prog/ns1:Target_P7_8" xmlDataType="string"/>
    </xmlCellPr>
  </singleXmlCell>
  <singleXmlCell id="741" xr6:uid="{00000000-000C-0000-FFFF-FFFF40010000}" r="O132" connectionId="0">
    <xmlCellPr id="1" xr6:uid="{00000000-0010-0000-4001-000001000000}" uniqueName="1">
      <xmlPr mapId="43" xpath="/ns1:Root/ns1:Prog/ns1:Target_P8_8" xmlDataType="double"/>
    </xmlCellPr>
  </singleXmlCell>
  <singleXmlCell id="742" xr6:uid="{00000000-000C-0000-FFFF-FFFF41010000}" r="P132" connectionId="0">
    <xmlCellPr id="1" xr6:uid="{00000000-0010-0000-4101-000001000000}" uniqueName="1">
      <xmlPr mapId="43" xpath="/ns1:Root/ns1:Prog/ns1:Target_P9_8" xmlDataType="double"/>
    </xmlCellPr>
  </singleXmlCell>
  <singleXmlCell id="743" xr6:uid="{00000000-000C-0000-FFFF-FFFF42010000}" r="Q132" connectionId="0">
    <xmlCellPr id="1" xr6:uid="{00000000-0010-0000-4201-000001000000}" uniqueName="1">
      <xmlPr mapId="43" xpath="/ns1:Root/ns1:Prog/ns1:Target_P10_8" xmlDataType="double"/>
    </xmlCellPr>
  </singleXmlCell>
  <singleXmlCell id="744" xr6:uid="{00000000-000C-0000-FFFF-FFFF43010000}" r="R132" connectionId="0">
    <xmlCellPr id="1" xr6:uid="{00000000-0010-0000-4301-000001000000}" uniqueName="1">
      <xmlPr mapId="43" xpath="/ns1:Root/ns1:Prog/ns1:Target_P11_8" xmlDataType="double"/>
    </xmlCellPr>
  </singleXmlCell>
  <singleXmlCell id="745" xr6:uid="{00000000-000C-0000-FFFF-FFFF44010000}" r="S132" connectionId="0">
    <xmlCellPr id="1" xr6:uid="{00000000-0010-0000-4401-000001000000}" uniqueName="1">
      <xmlPr mapId="43" xpath="/ns1:Root/ns1:Prog/ns1:Target_P12_8" xmlDataType="double"/>
    </xmlCellPr>
  </singleXmlCell>
  <singleXmlCell id="746" xr6:uid="{00000000-000C-0000-FFFF-FFFF45010000}" r="H133" connectionId="0">
    <xmlCellPr id="1" xr6:uid="{00000000-0010-0000-4501-000001000000}" uniqueName="1">
      <xmlPr mapId="43" xpath="/ns1:Root/ns1:Prog/ns1:Achieved__P1_8" xmlDataType="string"/>
    </xmlCellPr>
  </singleXmlCell>
  <singleXmlCell id="747" xr6:uid="{00000000-000C-0000-FFFF-FFFF46010000}" r="I133" connectionId="0">
    <xmlCellPr id="1" xr6:uid="{00000000-0010-0000-4601-000001000000}" uniqueName="1">
      <xmlPr mapId="43" xpath="/ns1:Root/ns1:Prog/ns1:Achieved__P2_8" xmlDataType="string"/>
    </xmlCellPr>
  </singleXmlCell>
  <singleXmlCell id="748" xr6:uid="{00000000-000C-0000-FFFF-FFFF47010000}" r="J133" connectionId="0">
    <xmlCellPr id="1" xr6:uid="{00000000-0010-0000-4701-000001000000}" uniqueName="1">
      <xmlPr mapId="43" xpath="/ns1:Root/ns1:Prog/ns1:Achieved__P3_8" xmlDataType="string"/>
    </xmlCellPr>
  </singleXmlCell>
  <singleXmlCell id="749" xr6:uid="{00000000-000C-0000-FFFF-FFFF48010000}" r="K133" connectionId="0">
    <xmlCellPr id="1" xr6:uid="{00000000-0010-0000-4801-000001000000}" uniqueName="1">
      <xmlPr mapId="43" xpath="/ns1:Root/ns1:Prog/ns1:Achieved__P4_8" xmlDataType="string"/>
    </xmlCellPr>
  </singleXmlCell>
  <singleXmlCell id="750" xr6:uid="{00000000-000C-0000-FFFF-FFFF49010000}" r="L133" connectionId="0">
    <xmlCellPr id="1" xr6:uid="{00000000-0010-0000-4901-000001000000}" uniqueName="1">
      <xmlPr mapId="43" xpath="/ns1:Root/ns1:Prog/ns1:Achieved__P5_8" xmlDataType="string"/>
    </xmlCellPr>
  </singleXmlCell>
  <singleXmlCell id="751" xr6:uid="{00000000-000C-0000-FFFF-FFFF4A010000}" r="M133" connectionId="0">
    <xmlCellPr id="1" xr6:uid="{00000000-0010-0000-4A01-000001000000}" uniqueName="1">
      <xmlPr mapId="43" xpath="/ns1:Root/ns1:Prog/ns1:Achieved__P6_8" xmlDataType="string"/>
    </xmlCellPr>
  </singleXmlCell>
  <singleXmlCell id="752" xr6:uid="{00000000-000C-0000-FFFF-FFFF4B010000}" r="N133" connectionId="0">
    <xmlCellPr id="1" xr6:uid="{00000000-0010-0000-4B01-000001000000}" uniqueName="1">
      <xmlPr mapId="43" xpath="/ns1:Root/ns1:Prog/ns1:Achieved__P7_8" xmlDataType="string"/>
    </xmlCellPr>
  </singleXmlCell>
  <singleXmlCell id="753" xr6:uid="{00000000-000C-0000-FFFF-FFFF4C010000}" r="O133" connectionId="0">
    <xmlCellPr id="1" xr6:uid="{00000000-0010-0000-4C01-000001000000}" uniqueName="1">
      <xmlPr mapId="43" xpath="/ns1:Root/ns1:Prog/ns1:Achieved__P8_8" xmlDataType="string"/>
    </xmlCellPr>
  </singleXmlCell>
  <singleXmlCell id="754" xr6:uid="{00000000-000C-0000-FFFF-FFFF4D010000}" r="P133" connectionId="0">
    <xmlCellPr id="1" xr6:uid="{00000000-0010-0000-4D01-000001000000}" uniqueName="1">
      <xmlPr mapId="43" xpath="/ns1:Root/ns1:Prog/ns1:Achieved__P9_8" xmlDataType="string"/>
    </xmlCellPr>
  </singleXmlCell>
  <singleXmlCell id="755" xr6:uid="{00000000-000C-0000-FFFF-FFFF4E010000}" r="Q133" connectionId="0">
    <xmlCellPr id="1" xr6:uid="{00000000-0010-0000-4E01-000001000000}" uniqueName="1">
      <xmlPr mapId="43" xpath="/ns1:Root/ns1:Prog/ns1:Achieved__P10_8" xmlDataType="string"/>
    </xmlCellPr>
  </singleXmlCell>
  <singleXmlCell id="756" xr6:uid="{00000000-000C-0000-FFFF-FFFF4F010000}" r="R133" connectionId="0">
    <xmlCellPr id="1" xr6:uid="{00000000-0010-0000-4F01-000001000000}" uniqueName="1">
      <xmlPr mapId="43" xpath="/ns1:Root/ns1:Prog/ns1:Achieved__P11_8" xmlDataType="string"/>
    </xmlCellPr>
  </singleXmlCell>
  <singleXmlCell id="757" xr6:uid="{00000000-000C-0000-FFFF-FFFF50010000}" r="S133" connectionId="0">
    <xmlCellPr id="1" xr6:uid="{00000000-0010-0000-5001-000001000000}" uniqueName="1">
      <xmlPr mapId="43" xpath="/ns1:Root/ns1:Prog/ns1:Achieved__P12_8" xmlDataType="string"/>
    </xmlCellPr>
  </singleXmlCell>
  <singleXmlCell id="758" xr6:uid="{00000000-000C-0000-FFFF-FFFF51010000}" r="H134" connectionId="0">
    <xmlCellPr id="1" xr6:uid="{00000000-0010-0000-5101-000001000000}" uniqueName="1">
      <xmlPr mapId="43" xpath="/ns1:Root/ns1:Prog/ns1:Target_P1_9" xmlDataType="double"/>
    </xmlCellPr>
  </singleXmlCell>
  <singleXmlCell id="759" xr6:uid="{00000000-000C-0000-FFFF-FFFF52010000}" r="I134" connectionId="0">
    <xmlCellPr id="1" xr6:uid="{00000000-0010-0000-5201-000001000000}" uniqueName="1">
      <xmlPr mapId="43" xpath="/ns1:Root/ns1:Prog/ns1:Target_P2_9" xmlDataType="double"/>
    </xmlCellPr>
  </singleXmlCell>
  <singleXmlCell id="760" xr6:uid="{00000000-000C-0000-FFFF-FFFF53010000}" r="J134" connectionId="0">
    <xmlCellPr id="1" xr6:uid="{00000000-0010-0000-5301-000001000000}" uniqueName="1">
      <xmlPr mapId="43" xpath="/ns1:Root/ns1:Prog/ns1:Target_P3_9" xmlDataType="double"/>
    </xmlCellPr>
  </singleXmlCell>
  <singleXmlCell id="761" xr6:uid="{00000000-000C-0000-FFFF-FFFF54010000}" r="K134" connectionId="0">
    <xmlCellPr id="1" xr6:uid="{00000000-0010-0000-5401-000001000000}" uniqueName="1">
      <xmlPr mapId="43" xpath="/ns1:Root/ns1:Prog/ns1:Target_P4_9" xmlDataType="double"/>
    </xmlCellPr>
  </singleXmlCell>
  <singleXmlCell id="762" xr6:uid="{00000000-000C-0000-FFFF-FFFF55010000}" r="L134" connectionId="0">
    <xmlCellPr id="1" xr6:uid="{00000000-0010-0000-5501-000001000000}" uniqueName="1">
      <xmlPr mapId="43" xpath="/ns1:Root/ns1:Prog/ns1:Target_P5_9" xmlDataType="double"/>
    </xmlCellPr>
  </singleXmlCell>
  <singleXmlCell id="763" xr6:uid="{00000000-000C-0000-FFFF-FFFF56010000}" r="M134" connectionId="0">
    <xmlCellPr id="1" xr6:uid="{00000000-0010-0000-5601-000001000000}" uniqueName="1">
      <xmlPr mapId="43" xpath="/ns1:Root/ns1:Prog/ns1:Target_P6_9" xmlDataType="double"/>
    </xmlCellPr>
  </singleXmlCell>
  <singleXmlCell id="764" xr6:uid="{00000000-000C-0000-FFFF-FFFF57010000}" r="N134" connectionId="0">
    <xmlCellPr id="1" xr6:uid="{00000000-0010-0000-5701-000001000000}" uniqueName="1">
      <xmlPr mapId="43" xpath="/ns1:Root/ns1:Prog/ns1:Target_P7_9" xmlDataType="double"/>
    </xmlCellPr>
  </singleXmlCell>
  <singleXmlCell id="765" xr6:uid="{00000000-000C-0000-FFFF-FFFF58010000}" r="O134" connectionId="0">
    <xmlCellPr id="1" xr6:uid="{00000000-0010-0000-5801-000001000000}" uniqueName="1">
      <xmlPr mapId="43" xpath="/ns1:Root/ns1:Prog/ns1:Target_P8_9" xmlDataType="double"/>
    </xmlCellPr>
  </singleXmlCell>
  <singleXmlCell id="766" xr6:uid="{00000000-000C-0000-FFFF-FFFF59010000}" r="P134" connectionId="0">
    <xmlCellPr id="1" xr6:uid="{00000000-0010-0000-5901-000001000000}" uniqueName="1">
      <xmlPr mapId="43" xpath="/ns1:Root/ns1:Prog/ns1:Target_P9_9" xmlDataType="double"/>
    </xmlCellPr>
  </singleXmlCell>
  <singleXmlCell id="767" xr6:uid="{00000000-000C-0000-FFFF-FFFF5A010000}" r="Q134" connectionId="0">
    <xmlCellPr id="1" xr6:uid="{00000000-0010-0000-5A01-000001000000}" uniqueName="1">
      <xmlPr mapId="43" xpath="/ns1:Root/ns1:Prog/ns1:Target_P10_9" xmlDataType="double"/>
    </xmlCellPr>
  </singleXmlCell>
  <singleXmlCell id="768" xr6:uid="{00000000-000C-0000-FFFF-FFFF5B010000}" r="R134" connectionId="0">
    <xmlCellPr id="1" xr6:uid="{00000000-0010-0000-5B01-000001000000}" uniqueName="1">
      <xmlPr mapId="43" xpath="/ns1:Root/ns1:Prog/ns1:Target_P11_9" xmlDataType="double"/>
    </xmlCellPr>
  </singleXmlCell>
  <singleXmlCell id="769" xr6:uid="{00000000-000C-0000-FFFF-FFFF5C010000}" r="S134" connectionId="0">
    <xmlCellPr id="1" xr6:uid="{00000000-0010-0000-5C01-000001000000}" uniqueName="1">
      <xmlPr mapId="43" xpath="/ns1:Root/ns1:Prog/ns1:Target_P12_9" xmlDataType="double"/>
    </xmlCellPr>
  </singleXmlCell>
  <singleXmlCell id="770" xr6:uid="{00000000-000C-0000-FFFF-FFFF5D010000}" r="H135" connectionId="0">
    <xmlCellPr id="1" xr6:uid="{00000000-0010-0000-5D01-000001000000}" uniqueName="1">
      <xmlPr mapId="43" xpath="/ns1:Root/ns1:Prog/ns1:Achieved__P1_9" xmlDataType="string"/>
    </xmlCellPr>
  </singleXmlCell>
  <singleXmlCell id="771" xr6:uid="{00000000-000C-0000-FFFF-FFFF5E010000}" r="I135" connectionId="0">
    <xmlCellPr id="1" xr6:uid="{00000000-0010-0000-5E01-000001000000}" uniqueName="1">
      <xmlPr mapId="43" xpath="/ns1:Root/ns1:Prog/ns1:Achieved__P2_9" xmlDataType="double"/>
    </xmlCellPr>
  </singleXmlCell>
  <singleXmlCell id="772" xr6:uid="{00000000-000C-0000-FFFF-FFFF5F010000}" r="J135" connectionId="0">
    <xmlCellPr id="1" xr6:uid="{00000000-0010-0000-5F01-000001000000}" uniqueName="1">
      <xmlPr mapId="43" xpath="/ns1:Root/ns1:Prog/ns1:Achieved__P3_9" xmlDataType="string"/>
    </xmlCellPr>
  </singleXmlCell>
  <singleXmlCell id="773" xr6:uid="{00000000-000C-0000-FFFF-FFFF60010000}" r="K135" connectionId="0">
    <xmlCellPr id="1" xr6:uid="{00000000-0010-0000-6001-000001000000}" uniqueName="1">
      <xmlPr mapId="43" xpath="/ns1:Root/ns1:Prog/ns1:Achieved__P4_9" xmlDataType="double"/>
    </xmlCellPr>
  </singleXmlCell>
  <singleXmlCell id="774" xr6:uid="{00000000-000C-0000-FFFF-FFFF61010000}" r="L135" connectionId="0">
    <xmlCellPr id="1" xr6:uid="{00000000-0010-0000-6101-000001000000}" uniqueName="1">
      <xmlPr mapId="43" xpath="/ns1:Root/ns1:Prog/ns1:Achieved__P5_9" xmlDataType="string"/>
    </xmlCellPr>
  </singleXmlCell>
  <singleXmlCell id="775" xr6:uid="{00000000-000C-0000-FFFF-FFFF62010000}" r="M135" connectionId="0">
    <xmlCellPr id="1" xr6:uid="{00000000-0010-0000-6201-000001000000}" uniqueName="1">
      <xmlPr mapId="43" xpath="/ns1:Root/ns1:Prog/ns1:Achieved__P6_9" xmlDataType="string"/>
    </xmlCellPr>
  </singleXmlCell>
  <singleXmlCell id="776" xr6:uid="{00000000-000C-0000-FFFF-FFFF63010000}" r="N135" connectionId="0">
    <xmlCellPr id="1" xr6:uid="{00000000-0010-0000-6301-000001000000}" uniqueName="1">
      <xmlPr mapId="43" xpath="/ns1:Root/ns1:Prog/ns1:Achieved__P7_9" xmlDataType="string"/>
    </xmlCellPr>
  </singleXmlCell>
  <singleXmlCell id="777" xr6:uid="{00000000-000C-0000-FFFF-FFFF64010000}" r="O135" connectionId="0">
    <xmlCellPr id="1" xr6:uid="{00000000-0010-0000-6401-000001000000}" uniqueName="1">
      <xmlPr mapId="43" xpath="/ns1:Root/ns1:Prog/ns1:Achieved__P8_9" xmlDataType="string"/>
    </xmlCellPr>
  </singleXmlCell>
  <singleXmlCell id="778" xr6:uid="{00000000-000C-0000-FFFF-FFFF65010000}" r="P135" connectionId="0">
    <xmlCellPr id="1" xr6:uid="{00000000-0010-0000-6501-000001000000}" uniqueName="1">
      <xmlPr mapId="43" xpath="/ns1:Root/ns1:Prog/ns1:Achieved__P9_9" xmlDataType="string"/>
    </xmlCellPr>
  </singleXmlCell>
  <singleXmlCell id="779" xr6:uid="{00000000-000C-0000-FFFF-FFFF66010000}" r="Q135" connectionId="0">
    <xmlCellPr id="1" xr6:uid="{00000000-0010-0000-6601-000001000000}" uniqueName="1">
      <xmlPr mapId="43" xpath="/ns1:Root/ns1:Prog/ns1:Achieved__P10_9" xmlDataType="string"/>
    </xmlCellPr>
  </singleXmlCell>
  <singleXmlCell id="780" xr6:uid="{00000000-000C-0000-FFFF-FFFF67010000}" r="R135" connectionId="0">
    <xmlCellPr id="1" xr6:uid="{00000000-0010-0000-6701-000001000000}" uniqueName="1">
      <xmlPr mapId="43" xpath="/ns1:Root/ns1:Prog/ns1:Achieved__P11_9" xmlDataType="string"/>
    </xmlCellPr>
  </singleXmlCell>
  <singleXmlCell id="781" xr6:uid="{00000000-000C-0000-FFFF-FFFF68010000}" r="S135" connectionId="0">
    <xmlCellPr id="1" xr6:uid="{00000000-0010-0000-6801-000001000000}" uniqueName="1">
      <xmlPr mapId="43" xpath="/ns1:Root/ns1:Prog/ns1:Achieved__P12_9" xmlDataType="string"/>
    </xmlCellPr>
  </singleXmlCell>
  <singleXmlCell id="782" xr6:uid="{00000000-000C-0000-FFFF-FFFF69010000}" r="H136" connectionId="0">
    <xmlCellPr id="1" xr6:uid="{00000000-0010-0000-6901-000001000000}" uniqueName="1">
      <xmlPr mapId="43" xpath="/ns1:Root/ns1:Prog/ns1:Target_P1" xmlDataType="string"/>
    </xmlCellPr>
  </singleXmlCell>
  <singleXmlCell id="783" xr6:uid="{00000000-000C-0000-FFFF-FFFF6A010000}" r="I136" connectionId="0">
    <xmlCellPr id="1" xr6:uid="{00000000-0010-0000-6A01-000001000000}" uniqueName="1">
      <xmlPr mapId="43" xpath="/ns1:Root/ns1:Prog/ns1:Target_P2" xmlDataType="string"/>
    </xmlCellPr>
  </singleXmlCell>
  <singleXmlCell id="784" xr6:uid="{00000000-000C-0000-FFFF-FFFF6B010000}" r="J136" connectionId="0">
    <xmlCellPr id="1" xr6:uid="{00000000-0010-0000-6B01-000001000000}" uniqueName="1">
      <xmlPr mapId="43" xpath="/ns1:Root/ns1:Prog/ns1:Target_P3" xmlDataType="string"/>
    </xmlCellPr>
  </singleXmlCell>
  <singleXmlCell id="785" xr6:uid="{00000000-000C-0000-FFFF-FFFF6C010000}" r="K136" connectionId="0">
    <xmlCellPr id="1" xr6:uid="{00000000-0010-0000-6C01-000001000000}" uniqueName="1">
      <xmlPr mapId="43" xpath="/ns1:Root/ns1:Prog/ns1:Target_P4" xmlDataType="double"/>
    </xmlCellPr>
  </singleXmlCell>
  <singleXmlCell id="786" xr6:uid="{00000000-000C-0000-FFFF-FFFF6D010000}" r="L136" connectionId="0">
    <xmlCellPr id="1" xr6:uid="{00000000-0010-0000-6D01-000001000000}" uniqueName="1">
      <xmlPr mapId="43" xpath="/ns1:Root/ns1:Prog/ns1:Target_P5" xmlDataType="string"/>
    </xmlCellPr>
  </singleXmlCell>
  <singleXmlCell id="787" xr6:uid="{00000000-000C-0000-FFFF-FFFF6E010000}" r="M136" connectionId="0">
    <xmlCellPr id="1" xr6:uid="{00000000-0010-0000-6E01-000001000000}" uniqueName="1">
      <xmlPr mapId="43" xpath="/ns1:Root/ns1:Prog/ns1:Target_P6" xmlDataType="string"/>
    </xmlCellPr>
  </singleXmlCell>
  <singleXmlCell id="788" xr6:uid="{00000000-000C-0000-FFFF-FFFF6F010000}" r="N136" connectionId="0">
    <xmlCellPr id="1" xr6:uid="{00000000-0010-0000-6F01-000001000000}" uniqueName="1">
      <xmlPr mapId="43" xpath="/ns1:Root/ns1:Prog/ns1:Target_P7" xmlDataType="string"/>
    </xmlCellPr>
  </singleXmlCell>
  <singleXmlCell id="789" xr6:uid="{00000000-000C-0000-FFFF-FFFF70010000}" r="O136" connectionId="0">
    <xmlCellPr id="1" xr6:uid="{00000000-0010-0000-7001-000001000000}" uniqueName="1">
      <xmlPr mapId="43" xpath="/ns1:Root/ns1:Prog/ns1:Target_P8" xmlDataType="string"/>
    </xmlCellPr>
  </singleXmlCell>
  <singleXmlCell id="790" xr6:uid="{00000000-000C-0000-FFFF-FFFF71010000}" r="P136" connectionId="0">
    <xmlCellPr id="1" xr6:uid="{00000000-0010-0000-7101-000001000000}" uniqueName="1">
      <xmlPr mapId="43" xpath="/ns1:Root/ns1:Prog/ns1:Target_P9" xmlDataType="string"/>
    </xmlCellPr>
  </singleXmlCell>
  <singleXmlCell id="791" xr6:uid="{00000000-000C-0000-FFFF-FFFF72010000}" r="Q136" connectionId="0">
    <xmlCellPr id="1" xr6:uid="{00000000-0010-0000-7201-000001000000}" uniqueName="1">
      <xmlPr mapId="43" xpath="/ns1:Root/ns1:Prog/ns1:Target_P10" xmlDataType="string"/>
    </xmlCellPr>
  </singleXmlCell>
  <singleXmlCell id="792" xr6:uid="{00000000-000C-0000-FFFF-FFFF73010000}" r="R136" connectionId="0">
    <xmlCellPr id="1" xr6:uid="{00000000-0010-0000-7301-000001000000}" uniqueName="1">
      <xmlPr mapId="43" xpath="/ns1:Root/ns1:Prog/ns1:Target_P11" xmlDataType="string"/>
    </xmlCellPr>
  </singleXmlCell>
  <singleXmlCell id="793" xr6:uid="{00000000-000C-0000-FFFF-FFFF74010000}" r="S136" connectionId="0">
    <xmlCellPr id="1" xr6:uid="{00000000-0010-0000-7401-000001000000}" uniqueName="1">
      <xmlPr mapId="43" xpath="/ns1:Root/ns1:Prog/ns1:Target_P12" xmlDataType="string"/>
    </xmlCellPr>
  </singleXmlCell>
  <singleXmlCell id="794" xr6:uid="{00000000-000C-0000-FFFF-FFFF75010000}" r="H137" connectionId="0">
    <xmlCellPr id="1" xr6:uid="{00000000-0010-0000-7501-000001000000}" uniqueName="1">
      <xmlPr mapId="43" xpath="/ns1:Root/ns1:Prog/ns1:Achieved__P1" xmlDataType="string"/>
    </xmlCellPr>
  </singleXmlCell>
  <singleXmlCell id="795" xr6:uid="{00000000-000C-0000-FFFF-FFFF76010000}" r="I137" connectionId="0">
    <xmlCellPr id="1" xr6:uid="{00000000-0010-0000-7601-000001000000}" uniqueName="1">
      <xmlPr mapId="43" xpath="/ns1:Root/ns1:Prog/ns1:Achieved__P2" xmlDataType="string"/>
    </xmlCellPr>
  </singleXmlCell>
  <singleXmlCell id="796" xr6:uid="{00000000-000C-0000-FFFF-FFFF77010000}" r="J137" connectionId="0">
    <xmlCellPr id="1" xr6:uid="{00000000-0010-0000-7701-000001000000}" uniqueName="1">
      <xmlPr mapId="43" xpath="/ns1:Root/ns1:Prog/ns1:Achieved__P3" xmlDataType="string"/>
    </xmlCellPr>
  </singleXmlCell>
  <singleXmlCell id="797" xr6:uid="{00000000-000C-0000-FFFF-FFFF78010000}" r="K137" connectionId="0">
    <xmlCellPr id="1" xr6:uid="{00000000-0010-0000-7801-000001000000}" uniqueName="1">
      <xmlPr mapId="43" xpath="/ns1:Root/ns1:Prog/ns1:Achieved__P4" xmlDataType="string"/>
    </xmlCellPr>
  </singleXmlCell>
  <singleXmlCell id="798" xr6:uid="{00000000-000C-0000-FFFF-FFFF79010000}" r="L137" connectionId="0">
    <xmlCellPr id="1" xr6:uid="{00000000-0010-0000-7901-000001000000}" uniqueName="1">
      <xmlPr mapId="43" xpath="/ns1:Root/ns1:Prog/ns1:Achieved__P5" xmlDataType="string"/>
    </xmlCellPr>
  </singleXmlCell>
  <singleXmlCell id="799" xr6:uid="{00000000-000C-0000-FFFF-FFFF7A010000}" r="M137" connectionId="0">
    <xmlCellPr id="1" xr6:uid="{00000000-0010-0000-7A01-000001000000}" uniqueName="1">
      <xmlPr mapId="43" xpath="/ns1:Root/ns1:Prog/ns1:Achieved__P6" xmlDataType="string"/>
    </xmlCellPr>
  </singleXmlCell>
  <singleXmlCell id="800" xr6:uid="{00000000-000C-0000-FFFF-FFFF7B010000}" r="N137" connectionId="0">
    <xmlCellPr id="1" xr6:uid="{00000000-0010-0000-7B01-000001000000}" uniqueName="1">
      <xmlPr mapId="43" xpath="/ns1:Root/ns1:Prog/ns1:Achieved__P7" xmlDataType="string"/>
    </xmlCellPr>
  </singleXmlCell>
  <singleXmlCell id="801" xr6:uid="{00000000-000C-0000-FFFF-FFFF7C010000}" r="O137" connectionId="0">
    <xmlCellPr id="1" xr6:uid="{00000000-0010-0000-7C01-000001000000}" uniqueName="1">
      <xmlPr mapId="43" xpath="/ns1:Root/ns1:Prog/ns1:Achieved__P8" xmlDataType="string"/>
    </xmlCellPr>
  </singleXmlCell>
  <singleXmlCell id="802" xr6:uid="{00000000-000C-0000-FFFF-FFFF7D010000}" r="P137" connectionId="0">
    <xmlCellPr id="1" xr6:uid="{00000000-0010-0000-7D01-000001000000}" uniqueName="1">
      <xmlPr mapId="43" xpath="/ns1:Root/ns1:Prog/ns1:Achieved__P9" xmlDataType="string"/>
    </xmlCellPr>
  </singleXmlCell>
  <singleXmlCell id="803" xr6:uid="{00000000-000C-0000-FFFF-FFFF7E010000}" r="Q137" connectionId="0">
    <xmlCellPr id="1" xr6:uid="{00000000-0010-0000-7E01-000001000000}" uniqueName="1">
      <xmlPr mapId="43" xpath="/ns1:Root/ns1:Prog/ns1:Achieved__P10" xmlDataType="string"/>
    </xmlCellPr>
  </singleXmlCell>
  <singleXmlCell id="804" xr6:uid="{00000000-000C-0000-FFFF-FFFF7F010000}" r="R137" connectionId="0">
    <xmlCellPr id="1" xr6:uid="{00000000-0010-0000-7F01-000001000000}" uniqueName="1">
      <xmlPr mapId="43" xpath="/ns1:Root/ns1:Prog/ns1:Achieved__P11" xmlDataType="string"/>
    </xmlCellPr>
  </singleXmlCell>
  <singleXmlCell id="805" xr6:uid="{00000000-000C-0000-FFFF-FFFF80010000}" r="S137" connectionId="0">
    <xmlCellPr id="1" xr6:uid="{00000000-0010-0000-8001-000001000000}" uniqueName="1">
      <xmlPr mapId="43" xpath="/ns1:Root/ns1:Prog/ns1:Achieved__P12" xmlDataType="string"/>
    </xmlCellPr>
  </singleXmlCell>
  <singleXmlCell id="806" xr6:uid="{00000000-000C-0000-FFFF-FFFF81010000}" r="K120" connectionId="0">
    <xmlCellPr id="1" xr6:uid="{00000000-0010-0000-8101-000001000000}" uniqueName="1">
      <xmlPr mapId="43" xpath="/ns1:Root/ns1:Prog/ns1:Target_P4_2" xmlDataType="double"/>
    </xmlCellPr>
  </singleXmlCell>
  <singleXmlCell id="807" xr6:uid="{00000000-000C-0000-FFFF-FFFF82010000}" r="B118" connectionId="0">
    <xmlCellPr id="1" xr6:uid="{00000000-0010-0000-8201-000001000000}" uniqueName="1">
      <xmlPr mapId="43" xpath="/ns1:Root/ns1:P1" xmlDataType="string"/>
    </xmlCellPr>
  </singleXmlCell>
  <singleXmlCell id="808" xr6:uid="{00000000-000C-0000-FFFF-FFFF83010000}" r="E118" connectionId="0">
    <xmlCellPr id="1" xr6:uid="{00000000-0010-0000-8301-000001000000}" uniqueName="1">
      <xmlPr mapId="43" xpath="/ns1:Root/ns1:P1_Code" xmlDataType="double"/>
    </xmlCellPr>
  </singleXmlCell>
  <singleXmlCell id="809" xr6:uid="{00000000-000C-0000-FFFF-FFFF84010000}" r="F118" connectionId="0">
    <xmlCellPr id="1" xr6:uid="{00000000-0010-0000-8401-000001000000}" uniqueName="1">
      <xmlPr mapId="43" xpath="/ns1:Root/ns1:P1_Tied" xmlDataType="string"/>
    </xmlCellPr>
  </singleXmlCell>
  <singleXmlCell id="810" xr6:uid="{00000000-000C-0000-FFFF-FFFF85010000}" r="B120" connectionId="0">
    <xmlCellPr id="1" xr6:uid="{00000000-0010-0000-8501-000001000000}" uniqueName="1">
      <xmlPr mapId="43" xpath="/ns1:Root/ns1:P2" xmlDataType="string"/>
    </xmlCellPr>
  </singleXmlCell>
  <singleXmlCell id="811" xr6:uid="{00000000-000C-0000-FFFF-FFFF86010000}" r="E120" connectionId="0">
    <xmlCellPr id="1" xr6:uid="{00000000-0010-0000-8601-000001000000}" uniqueName="1">
      <xmlPr mapId="43" xpath="/ns1:Root/ns1:P2_Code" xmlDataType="double"/>
    </xmlCellPr>
  </singleXmlCell>
  <singleXmlCell id="812" xr6:uid="{00000000-000C-0000-FFFF-FFFF87010000}" r="F120" connectionId="0">
    <xmlCellPr id="1" xr6:uid="{00000000-0010-0000-8701-000001000000}" uniqueName="1">
      <xmlPr mapId="43" xpath="/ns1:Root/ns1:P2_Tied" xmlDataType="string"/>
    </xmlCellPr>
  </singleXmlCell>
  <singleXmlCell id="813" xr6:uid="{00000000-000C-0000-FFFF-FFFF88010000}" r="B122" connectionId="0">
    <xmlCellPr id="1" xr6:uid="{00000000-0010-0000-8801-000001000000}" uniqueName="1">
      <xmlPr mapId="43" xpath="/ns1:Root/ns1:P3" xmlDataType="string"/>
    </xmlCellPr>
  </singleXmlCell>
  <singleXmlCell id="814" xr6:uid="{00000000-000C-0000-FFFF-FFFF89010000}" r="E122" connectionId="0">
    <xmlCellPr id="1" xr6:uid="{00000000-0010-0000-8901-000001000000}" uniqueName="1">
      <xmlPr mapId="43" xpath="/ns1:Root/ns1:P3_Code" xmlDataType="double"/>
    </xmlCellPr>
  </singleXmlCell>
  <singleXmlCell id="815" xr6:uid="{00000000-000C-0000-FFFF-FFFF8A010000}" r="F122" connectionId="0">
    <xmlCellPr id="1" xr6:uid="{00000000-0010-0000-8A01-000001000000}" uniqueName="1">
      <xmlPr mapId="43" xpath="/ns1:Root/ns1:P3_Tied" xmlDataType="string"/>
    </xmlCellPr>
  </singleXmlCell>
  <singleXmlCell id="816" xr6:uid="{00000000-000C-0000-FFFF-FFFF8B010000}" r="B124" connectionId="0">
    <xmlCellPr id="1" xr6:uid="{00000000-0010-0000-8B01-000001000000}" uniqueName="1">
      <xmlPr mapId="43" xpath="/ns1:Root/ns1:P4" xmlDataType="string"/>
    </xmlCellPr>
  </singleXmlCell>
  <singleXmlCell id="817" xr6:uid="{00000000-000C-0000-FFFF-FFFF8C010000}" r="E124" connectionId="0">
    <xmlCellPr id="1" xr6:uid="{00000000-0010-0000-8C01-000001000000}" uniqueName="1">
      <xmlPr mapId="43" xpath="/ns1:Root/ns1:P4_Code" xmlDataType="double"/>
    </xmlCellPr>
  </singleXmlCell>
  <singleXmlCell id="818" xr6:uid="{00000000-000C-0000-FFFF-FFFF8D010000}" r="F124" connectionId="0">
    <xmlCellPr id="1" xr6:uid="{00000000-0010-0000-8D01-000001000000}" uniqueName="1">
      <xmlPr mapId="43" xpath="/ns1:Root/ns1:P4_Tied" xmlDataType="string"/>
    </xmlCellPr>
  </singleXmlCell>
  <singleXmlCell id="819" xr6:uid="{00000000-000C-0000-FFFF-FFFF8E010000}" r="B126" connectionId="0">
    <xmlCellPr id="1" xr6:uid="{00000000-0010-0000-8E01-000001000000}" uniqueName="1">
      <xmlPr mapId="43" xpath="/ns1:Root/ns1:P5" xmlDataType="string"/>
    </xmlCellPr>
  </singleXmlCell>
  <singleXmlCell id="820" xr6:uid="{00000000-000C-0000-FFFF-FFFF8F010000}" r="E126" connectionId="0">
    <xmlCellPr id="1" xr6:uid="{00000000-0010-0000-8F01-000001000000}" uniqueName="1">
      <xmlPr mapId="43" xpath="/ns1:Root/ns1:P5_Code" xmlDataType="double"/>
    </xmlCellPr>
  </singleXmlCell>
  <singleXmlCell id="821" xr6:uid="{00000000-000C-0000-FFFF-FFFF90010000}" r="F126" connectionId="0">
    <xmlCellPr id="1" xr6:uid="{00000000-0010-0000-9001-000001000000}" uniqueName="1">
      <xmlPr mapId="43" xpath="/ns1:Root/ns1:P5_Tied" xmlDataType="string"/>
    </xmlCellPr>
  </singleXmlCell>
  <singleXmlCell id="822" xr6:uid="{00000000-000C-0000-FFFF-FFFF91010000}" r="B128" connectionId="0">
    <xmlCellPr id="1" xr6:uid="{00000000-0010-0000-9101-000001000000}" uniqueName="1">
      <xmlPr mapId="43" xpath="/ns1:Root/ns1:P6" xmlDataType="string"/>
    </xmlCellPr>
  </singleXmlCell>
  <singleXmlCell id="823" xr6:uid="{00000000-000C-0000-FFFF-FFFF92010000}" r="E128" connectionId="0">
    <xmlCellPr id="1" xr6:uid="{00000000-0010-0000-9201-000001000000}" uniqueName="1">
      <xmlPr mapId="43" xpath="/ns1:Root/ns1:P6_Code" xmlDataType="double"/>
    </xmlCellPr>
  </singleXmlCell>
  <singleXmlCell id="824" xr6:uid="{00000000-000C-0000-FFFF-FFFF93010000}" r="F128" connectionId="0">
    <xmlCellPr id="1" xr6:uid="{00000000-0010-0000-9301-000001000000}" uniqueName="1">
      <xmlPr mapId="43" xpath="/ns1:Root/ns1:P6_Tied" xmlDataType="string"/>
    </xmlCellPr>
  </singleXmlCell>
  <singleXmlCell id="825" xr6:uid="{00000000-000C-0000-FFFF-FFFF94010000}" r="B130" connectionId="0">
    <xmlCellPr id="1" xr6:uid="{00000000-0010-0000-9401-000001000000}" uniqueName="1">
      <xmlPr mapId="43" xpath="/ns1:Root/ns1:P7" xmlDataType="string"/>
    </xmlCellPr>
  </singleXmlCell>
  <singleXmlCell id="826" xr6:uid="{00000000-000C-0000-FFFF-FFFF95010000}" r="E130" connectionId="0">
    <xmlCellPr id="1" xr6:uid="{00000000-0010-0000-9501-000001000000}" uniqueName="1">
      <xmlPr mapId="43" xpath="/ns1:Root/ns1:P7_Code" xmlDataType="double"/>
    </xmlCellPr>
  </singleXmlCell>
  <singleXmlCell id="827" xr6:uid="{00000000-000C-0000-FFFF-FFFF96010000}" r="F130" connectionId="0">
    <xmlCellPr id="1" xr6:uid="{00000000-0010-0000-9601-000001000000}" uniqueName="1">
      <xmlPr mapId="43" xpath="/ns1:Root/ns1:P7_Tied" xmlDataType="string"/>
    </xmlCellPr>
  </singleXmlCell>
  <singleXmlCell id="828" xr6:uid="{00000000-000C-0000-FFFF-FFFF97010000}" r="B132" connectionId="0">
    <xmlCellPr id="1" xr6:uid="{00000000-0010-0000-9701-000001000000}" uniqueName="1">
      <xmlPr mapId="43" xpath="/ns1:Root/ns1:P8" xmlDataType="string"/>
    </xmlCellPr>
  </singleXmlCell>
  <singleXmlCell id="829" xr6:uid="{00000000-000C-0000-FFFF-FFFF98010000}" r="E132" connectionId="0">
    <xmlCellPr id="1" xr6:uid="{00000000-0010-0000-9801-000001000000}" uniqueName="1">
      <xmlPr mapId="43" xpath="/ns1:Root/ns1:P8_Code" xmlDataType="double"/>
    </xmlCellPr>
  </singleXmlCell>
  <singleXmlCell id="830" xr6:uid="{00000000-000C-0000-FFFF-FFFF99010000}" r="F132" connectionId="0">
    <xmlCellPr id="1" xr6:uid="{00000000-0010-0000-9901-000001000000}" uniqueName="1">
      <xmlPr mapId="43" xpath="/ns1:Root/ns1:P8_Tied" xmlDataType="string"/>
    </xmlCellPr>
  </singleXmlCell>
  <singleXmlCell id="831" xr6:uid="{00000000-000C-0000-FFFF-FFFF9A010000}" r="B134" connectionId="0">
    <xmlCellPr id="1" xr6:uid="{00000000-0010-0000-9A01-000001000000}" uniqueName="1">
      <xmlPr mapId="43" xpath="/ns1:Root/ns1:P9" xmlDataType="string"/>
    </xmlCellPr>
  </singleXmlCell>
  <singleXmlCell id="832" xr6:uid="{00000000-000C-0000-FFFF-FFFF9B010000}" r="E134" connectionId="0">
    <xmlCellPr id="1" xr6:uid="{00000000-0010-0000-9B01-000001000000}" uniqueName="1">
      <xmlPr mapId="43" xpath="/ns1:Root/ns1:P9_Code" xmlDataType="double"/>
    </xmlCellPr>
  </singleXmlCell>
  <singleXmlCell id="833" xr6:uid="{00000000-000C-0000-FFFF-FFFF9C010000}" r="F134" connectionId="0">
    <xmlCellPr id="1" xr6:uid="{00000000-0010-0000-9C01-000001000000}" uniqueName="1">
      <xmlPr mapId="43" xpath="/ns1:Root/ns1:P9_Tied" xmlDataType="double"/>
    </xmlCellPr>
  </singleXmlCell>
  <singleXmlCell id="834" xr6:uid="{00000000-000C-0000-FFFF-FFFF9D010000}" r="B136" connectionId="0">
    <xmlCellPr id="1" xr6:uid="{00000000-0010-0000-9D01-000001000000}" uniqueName="1">
      <xmlPr mapId="43" xpath="/ns1:Root/ns1:P10" xmlDataType="string"/>
    </xmlCellPr>
  </singleXmlCell>
  <singleXmlCell id="835" xr6:uid="{00000000-000C-0000-FFFF-FFFF9E010000}" r="E136" connectionId="0">
    <xmlCellPr id="1" xr6:uid="{00000000-0010-0000-9E01-000001000000}" uniqueName="1">
      <xmlPr mapId="43" xpath="/ns1:Root/ns1:P10_Code" xmlDataType="double"/>
    </xmlCellPr>
  </singleXmlCell>
  <singleXmlCell id="836" xr6:uid="{00000000-000C-0000-FFFF-FFFF9F010000}" r="F136" connectionId="0">
    <xmlCellPr id="1" xr6:uid="{00000000-0010-0000-9F01-000001000000}" uniqueName="1">
      <xmlPr mapId="43" xpath="/ns1:Root/ns1:P10_Tied" xmlDataType="string"/>
    </xmlCellPr>
  </singleXmlCell>
  <singleXmlCell id="837" xr6:uid="{00000000-000C-0000-FFFF-FFFFA0010000}" r="D26" connectionId="0">
    <xmlCellPr id="1" xr6:uid="{00000000-0010-0000-A001-000001000000}"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B1:O4"/>
  <sheetViews>
    <sheetView showGridLines="0" showRowColHeaders="0" zoomScale="90" zoomScaleNormal="90" workbookViewId="0">
      <selection activeCell="H4" sqref="H4"/>
    </sheetView>
  </sheetViews>
  <sheetFormatPr baseColWidth="10" defaultColWidth="9.140625" defaultRowHeight="15"/>
  <cols>
    <col min="1" max="1" width="1.140625" customWidth="1"/>
    <col min="2" max="10" width="11.42578125" customWidth="1"/>
    <col min="11" max="11" width="1.7109375" customWidth="1"/>
  </cols>
  <sheetData>
    <row r="1" spans="2:15" ht="25.5" customHeight="1"/>
    <row r="2" spans="2:15" ht="36">
      <c r="B2" s="502" t="str">
        <f>+'[1]Información de la subvención'!B3:J3</f>
        <v>Tablero de mando:  Ficticia - VIH / SIDA</v>
      </c>
      <c r="C2" s="502"/>
      <c r="D2" s="502"/>
      <c r="E2" s="502"/>
      <c r="F2" s="502"/>
      <c r="G2" s="502"/>
      <c r="H2" s="502"/>
      <c r="I2" s="502"/>
      <c r="J2" s="502"/>
      <c r="K2" s="502"/>
      <c r="L2" s="502"/>
      <c r="M2" s="501"/>
      <c r="N2" s="501"/>
      <c r="O2" s="501"/>
    </row>
    <row r="4" spans="2:15" ht="21">
      <c r="B4" s="503" t="str">
        <f>+'Introducción de datos'!G6&amp;"  "&amp;+'Introducción de datos'!G8&amp;",  "&amp;+'Introducción de datos'!I8</f>
        <v>VIH / SIDA  Seleccionar,  Seleccionar</v>
      </c>
      <c r="C4" s="503"/>
      <c r="D4" s="503"/>
      <c r="E4" s="504"/>
      <c r="F4" s="207"/>
      <c r="G4" s="207"/>
      <c r="H4" s="302" t="str">
        <f>+'[1]Introducción de datos'!B6&amp;" "&amp;+'[1]Introducción de datos'!C6</f>
        <v>Subvención nº: FIC-910-G01-H</v>
      </c>
      <c r="I4" s="302"/>
      <c r="J4" s="206"/>
      <c r="K4" s="207"/>
      <c r="L4" s="207"/>
    </row>
  </sheetData>
  <mergeCells count="2">
    <mergeCell ref="B2:L2"/>
    <mergeCell ref="B4:E4"/>
  </mergeCells>
  <phoneticPr fontId="30"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2:O48"/>
  <sheetViews>
    <sheetView showGridLines="0" topLeftCell="B1" zoomScale="80" zoomScaleNormal="80" workbookViewId="0">
      <selection activeCell="H29" sqref="H29"/>
    </sheetView>
  </sheetViews>
  <sheetFormatPr baseColWidth="10" defaultColWidth="9.140625"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904" t="str">
        <f>'Información de la subvención'!B3:J3</f>
        <v>Tablero de mando:  Perú - VIH / SIDA</v>
      </c>
      <c r="C3" s="904"/>
      <c r="D3" s="904"/>
      <c r="E3" s="904"/>
      <c r="F3" s="904"/>
      <c r="G3" s="904"/>
      <c r="H3" s="904"/>
      <c r="I3" s="1"/>
    </row>
    <row r="6" spans="2:15" ht="18.75">
      <c r="B6" s="905" t="s">
        <v>191</v>
      </c>
      <c r="C6" s="905"/>
      <c r="D6" s="905"/>
      <c r="E6" s="905"/>
      <c r="F6" s="905"/>
      <c r="G6" s="905"/>
      <c r="H6" s="905"/>
    </row>
    <row r="8" spans="2:15" ht="18.75">
      <c r="B8" s="61" t="s">
        <v>114</v>
      </c>
      <c r="C8" s="61" t="s">
        <v>117</v>
      </c>
      <c r="D8" s="61" t="s">
        <v>118</v>
      </c>
      <c r="E8" s="61" t="s">
        <v>119</v>
      </c>
      <c r="F8" s="61" t="s">
        <v>181</v>
      </c>
      <c r="G8" s="61" t="s">
        <v>179</v>
      </c>
      <c r="H8" s="61" t="s">
        <v>183</v>
      </c>
      <c r="I8" s="62" t="s">
        <v>145</v>
      </c>
      <c r="J8" s="62" t="s">
        <v>163</v>
      </c>
      <c r="M8" s="19"/>
      <c r="N8" s="19"/>
      <c r="O8" s="19"/>
    </row>
    <row r="9" spans="2:15">
      <c r="B9" s="458" t="s">
        <v>276</v>
      </c>
      <c r="C9" s="458" t="s">
        <v>276</v>
      </c>
      <c r="D9" s="458" t="s">
        <v>276</v>
      </c>
      <c r="E9" s="458" t="s">
        <v>276</v>
      </c>
      <c r="F9" s="458" t="s">
        <v>276</v>
      </c>
      <c r="G9" s="458" t="s">
        <v>276</v>
      </c>
      <c r="H9" s="458" t="s">
        <v>276</v>
      </c>
      <c r="I9" s="459" t="s">
        <v>276</v>
      </c>
      <c r="J9" s="458" t="s">
        <v>276</v>
      </c>
      <c r="M9" s="19"/>
      <c r="N9" s="19"/>
      <c r="O9" s="19"/>
    </row>
    <row r="10" spans="2:15">
      <c r="B10" s="56" t="s">
        <v>320</v>
      </c>
      <c r="C10" s="56" t="s">
        <v>112</v>
      </c>
      <c r="D10" s="56" t="s">
        <v>231</v>
      </c>
      <c r="E10" s="56" t="s">
        <v>241</v>
      </c>
      <c r="F10" s="56" t="s">
        <v>150</v>
      </c>
      <c r="G10" s="370" t="s">
        <v>120</v>
      </c>
      <c r="H10" s="59" t="s">
        <v>125</v>
      </c>
      <c r="I10" s="27" t="s">
        <v>184</v>
      </c>
      <c r="J10" s="83" t="s">
        <v>216</v>
      </c>
      <c r="M10" s="19"/>
      <c r="N10" s="19"/>
      <c r="O10" s="19"/>
    </row>
    <row r="11" spans="2:15">
      <c r="B11" s="56" t="s">
        <v>115</v>
      </c>
      <c r="C11" s="56" t="s">
        <v>111</v>
      </c>
      <c r="D11" s="56" t="s">
        <v>232</v>
      </c>
      <c r="E11" s="56" t="s">
        <v>242</v>
      </c>
      <c r="F11" s="56" t="s">
        <v>151</v>
      </c>
      <c r="G11" s="370" t="s">
        <v>121</v>
      </c>
      <c r="H11" s="59" t="s">
        <v>126</v>
      </c>
      <c r="I11" s="27" t="s">
        <v>185</v>
      </c>
      <c r="J11" s="83" t="s">
        <v>217</v>
      </c>
      <c r="M11" s="19"/>
      <c r="N11" s="19"/>
      <c r="O11" s="19"/>
    </row>
    <row r="12" spans="2:15">
      <c r="B12" s="56" t="s">
        <v>116</v>
      </c>
      <c r="D12" s="56" t="s">
        <v>233</v>
      </c>
      <c r="E12" s="56" t="s">
        <v>113</v>
      </c>
      <c r="F12" s="56" t="s">
        <v>152</v>
      </c>
      <c r="G12" s="370" t="s">
        <v>122</v>
      </c>
      <c r="H12" s="59" t="s">
        <v>127</v>
      </c>
      <c r="I12" s="27" t="s">
        <v>186</v>
      </c>
      <c r="J12" s="83" t="s">
        <v>164</v>
      </c>
      <c r="M12" s="176"/>
      <c r="N12" s="19"/>
      <c r="O12" s="19"/>
    </row>
    <row r="13" spans="2:15">
      <c r="B13" s="56" t="s">
        <v>321</v>
      </c>
      <c r="D13" s="56" t="s">
        <v>234</v>
      </c>
      <c r="E13" s="57"/>
      <c r="F13" s="56" t="s">
        <v>153</v>
      </c>
      <c r="G13" s="370" t="s">
        <v>123</v>
      </c>
      <c r="H13" s="59" t="s">
        <v>128</v>
      </c>
      <c r="I13" s="27" t="s">
        <v>187</v>
      </c>
      <c r="J13" s="83" t="s">
        <v>218</v>
      </c>
      <c r="M13" s="176"/>
      <c r="N13" s="19"/>
      <c r="O13" s="19"/>
    </row>
    <row r="14" spans="2:15">
      <c r="B14" s="56" t="s">
        <v>322</v>
      </c>
      <c r="D14" s="56" t="s">
        <v>235</v>
      </c>
      <c r="F14" s="56" t="s">
        <v>156</v>
      </c>
      <c r="G14" s="370" t="s">
        <v>124</v>
      </c>
      <c r="H14" s="59" t="s">
        <v>129</v>
      </c>
      <c r="I14" s="27" t="s">
        <v>180</v>
      </c>
      <c r="J14" s="83" t="s">
        <v>219</v>
      </c>
      <c r="M14" s="176"/>
      <c r="N14" s="19"/>
      <c r="O14" s="19"/>
    </row>
    <row r="15" spans="2:15">
      <c r="D15" s="56" t="s">
        <v>236</v>
      </c>
      <c r="F15" s="56" t="s">
        <v>157</v>
      </c>
      <c r="H15" s="59" t="s">
        <v>130</v>
      </c>
      <c r="I15" s="27" t="s">
        <v>136</v>
      </c>
      <c r="J15" s="83" t="s">
        <v>220</v>
      </c>
      <c r="M15" s="176"/>
      <c r="N15" s="19"/>
      <c r="O15" s="19"/>
    </row>
    <row r="16" spans="2:15">
      <c r="D16" s="56" t="s">
        <v>237</v>
      </c>
      <c r="F16" s="56" t="s">
        <v>158</v>
      </c>
      <c r="H16" s="59" t="s">
        <v>131</v>
      </c>
      <c r="I16" s="27" t="s">
        <v>137</v>
      </c>
      <c r="J16" s="83" t="s">
        <v>221</v>
      </c>
      <c r="M16" s="176"/>
      <c r="N16" s="19"/>
      <c r="O16" s="19"/>
    </row>
    <row r="17" spans="4:15">
      <c r="D17" s="56" t="s">
        <v>238</v>
      </c>
      <c r="F17" s="56" t="s">
        <v>159</v>
      </c>
      <c r="H17" s="59" t="s">
        <v>132</v>
      </c>
      <c r="I17" s="27" t="s">
        <v>138</v>
      </c>
      <c r="J17" s="83" t="s">
        <v>222</v>
      </c>
      <c r="M17" s="176"/>
      <c r="N17" s="19"/>
      <c r="O17" s="19"/>
    </row>
    <row r="18" spans="4:15">
      <c r="D18" s="56" t="s">
        <v>239</v>
      </c>
      <c r="F18" s="56" t="s">
        <v>160</v>
      </c>
      <c r="H18" s="59" t="s">
        <v>133</v>
      </c>
      <c r="I18" s="27" t="s">
        <v>139</v>
      </c>
      <c r="J18" s="83" t="s">
        <v>165</v>
      </c>
      <c r="M18" s="176"/>
      <c r="N18" s="19"/>
      <c r="O18" s="19"/>
    </row>
    <row r="19" spans="4:15">
      <c r="D19" s="56" t="s">
        <v>240</v>
      </c>
      <c r="F19" s="56" t="s">
        <v>161</v>
      </c>
      <c r="H19" s="59" t="s">
        <v>134</v>
      </c>
      <c r="I19" s="27" t="s">
        <v>140</v>
      </c>
      <c r="J19" s="83" t="s">
        <v>223</v>
      </c>
      <c r="M19" s="176"/>
      <c r="N19" s="19"/>
      <c r="O19" s="19"/>
    </row>
    <row r="20" spans="4:15">
      <c r="D20" s="58"/>
      <c r="F20" s="56" t="s">
        <v>162</v>
      </c>
      <c r="H20" s="59" t="s">
        <v>178</v>
      </c>
      <c r="I20" s="27" t="s">
        <v>141</v>
      </c>
      <c r="J20" s="83" t="s">
        <v>224</v>
      </c>
      <c r="M20" s="19"/>
      <c r="N20" s="19"/>
      <c r="O20" s="19"/>
    </row>
    <row r="21" spans="4:15">
      <c r="D21" s="60"/>
      <c r="F21" s="56" t="s">
        <v>182</v>
      </c>
      <c r="H21" s="60"/>
      <c r="I21" s="27" t="s">
        <v>143</v>
      </c>
      <c r="J21" s="83" t="s">
        <v>166</v>
      </c>
      <c r="M21" s="19"/>
      <c r="N21" s="19"/>
      <c r="O21" s="19"/>
    </row>
    <row r="22" spans="4:15">
      <c r="H22" s="60"/>
      <c r="I22" s="27" t="s">
        <v>144</v>
      </c>
      <c r="J22" s="83" t="s">
        <v>167</v>
      </c>
      <c r="M22" s="19"/>
      <c r="N22" s="19"/>
      <c r="O22" s="19"/>
    </row>
    <row r="23" spans="4:15">
      <c r="I23" s="27" t="s">
        <v>142</v>
      </c>
      <c r="J23" s="83" t="s">
        <v>168</v>
      </c>
      <c r="M23" s="19"/>
      <c r="N23" s="19"/>
      <c r="O23" s="19"/>
    </row>
    <row r="24" spans="4:15">
      <c r="I24" s="27" t="s">
        <v>189</v>
      </c>
      <c r="J24" s="83" t="s">
        <v>169</v>
      </c>
      <c r="M24" s="19"/>
      <c r="N24" s="19"/>
      <c r="O24" s="19"/>
    </row>
    <row r="25" spans="4:15">
      <c r="I25" s="45"/>
      <c r="J25" s="83" t="s">
        <v>225</v>
      </c>
    </row>
    <row r="26" spans="4:15">
      <c r="I26" s="27" t="s">
        <v>190</v>
      </c>
      <c r="J26" s="83" t="s">
        <v>170</v>
      </c>
    </row>
    <row r="27" spans="4:15">
      <c r="I27" s="27" t="s">
        <v>188</v>
      </c>
      <c r="J27" s="83" t="s">
        <v>171</v>
      </c>
    </row>
    <row r="28" spans="4:15">
      <c r="I28" s="45" t="s">
        <v>317</v>
      </c>
      <c r="J28" s="83" t="s">
        <v>226</v>
      </c>
    </row>
    <row r="29" spans="4:15">
      <c r="I29" s="45" t="s">
        <v>318</v>
      </c>
      <c r="J29" s="83" t="s">
        <v>227</v>
      </c>
    </row>
    <row r="30" spans="4:15">
      <c r="I30" s="45" t="s">
        <v>319</v>
      </c>
      <c r="J30" s="83" t="s">
        <v>172</v>
      </c>
    </row>
    <row r="31" spans="4:15">
      <c r="J31" s="83" t="s">
        <v>173</v>
      </c>
    </row>
    <row r="32" spans="4:15">
      <c r="J32" s="83" t="s">
        <v>228</v>
      </c>
    </row>
    <row r="33" spans="10:10">
      <c r="J33" s="83" t="s">
        <v>174</v>
      </c>
    </row>
    <row r="34" spans="10:10">
      <c r="J34" s="83" t="s">
        <v>175</v>
      </c>
    </row>
    <row r="35" spans="10:10">
      <c r="J35" s="83" t="s">
        <v>229</v>
      </c>
    </row>
    <row r="36" spans="10:10">
      <c r="J36" s="83" t="s">
        <v>176</v>
      </c>
    </row>
    <row r="37" spans="10:10">
      <c r="J37" s="83" t="s">
        <v>230</v>
      </c>
    </row>
    <row r="38" spans="10:10">
      <c r="J38" s="83" t="s">
        <v>177</v>
      </c>
    </row>
    <row r="39" spans="10:10">
      <c r="J39" s="83" t="s">
        <v>247</v>
      </c>
    </row>
    <row r="40" spans="10:10">
      <c r="J40" s="83" t="s">
        <v>248</v>
      </c>
    </row>
    <row r="41" spans="10:10">
      <c r="J41" s="83" t="s">
        <v>249</v>
      </c>
    </row>
    <row r="42" spans="10:10">
      <c r="J42" s="83" t="s">
        <v>250</v>
      </c>
    </row>
    <row r="43" spans="10:10">
      <c r="J43" s="83" t="s">
        <v>251</v>
      </c>
    </row>
    <row r="44" spans="10:10">
      <c r="J44" s="83" t="s">
        <v>252</v>
      </c>
    </row>
    <row r="45" spans="10:10">
      <c r="J45" s="83" t="s">
        <v>253</v>
      </c>
    </row>
    <row r="46" spans="10:10">
      <c r="J46" s="83" t="s">
        <v>254</v>
      </c>
    </row>
    <row r="47" spans="10:10">
      <c r="J47" s="83" t="s">
        <v>255</v>
      </c>
    </row>
    <row r="48" spans="10:10">
      <c r="J48" s="83" t="s">
        <v>256</v>
      </c>
    </row>
  </sheetData>
  <mergeCells count="2">
    <mergeCell ref="B3:H3"/>
    <mergeCell ref="B6:H6"/>
  </mergeCells>
  <phoneticPr fontId="30" type="noConversion"/>
  <dataValidations count="1">
    <dataValidation type="list" allowBlank="1" showInputMessage="1" showErrorMessage="1" sqref="M28" xr:uid="{00000000-0002-0000-0900-000000000000}">
      <formula1>$J$10:$J$48</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BH57"/>
  <sheetViews>
    <sheetView showGridLines="0" zoomScale="60" zoomScaleNormal="60" workbookViewId="0">
      <pane ySplit="2" topLeftCell="A3" activePane="bottomLeft" state="frozen"/>
      <selection activeCell="E22" sqref="E22"/>
      <selection pane="bottomLeft" activeCell="M28" sqref="M28"/>
    </sheetView>
  </sheetViews>
  <sheetFormatPr baseColWidth="10" defaultColWidth="9.140625"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5703125" style="36" customWidth="1"/>
    <col min="15" max="15" width="3" style="36" customWidth="1"/>
    <col min="16" max="16" width="2.5703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60" ht="34.5" customHeight="1">
      <c r="A1" s="3"/>
      <c r="B1" s="3"/>
      <c r="C1" s="3"/>
      <c r="D1" s="3"/>
      <c r="E1" s="3"/>
      <c r="F1" s="3"/>
      <c r="G1" s="3"/>
      <c r="H1" s="3"/>
      <c r="I1" s="3"/>
      <c r="J1" s="3"/>
      <c r="K1" s="3"/>
      <c r="L1" s="3"/>
      <c r="M1" s="3"/>
    </row>
    <row r="2" spans="1:60" ht="36" customHeight="1">
      <c r="A2" s="3"/>
      <c r="B2" s="600" t="str">
        <f>+"Cuadro de mando:  "&amp;"  "&amp;+'Introducción de datos'!C4&amp;" - "&amp;'Introducción de datos'!G6</f>
        <v>Cuadro de mando:    Perú - VIH / SIDA</v>
      </c>
      <c r="C2" s="600"/>
      <c r="D2" s="600"/>
      <c r="E2" s="600"/>
      <c r="F2" s="600"/>
      <c r="G2" s="600"/>
      <c r="H2" s="600"/>
      <c r="I2" s="600"/>
      <c r="J2" s="600"/>
      <c r="K2" s="600"/>
      <c r="L2" s="600"/>
      <c r="M2" s="600"/>
    </row>
    <row r="3" spans="1:60" ht="15.75" customHeight="1">
      <c r="A3" s="3"/>
      <c r="B3" s="198"/>
      <c r="C3" s="198"/>
      <c r="D3" s="198"/>
      <c r="E3" s="198"/>
      <c r="F3" s="198"/>
      <c r="G3" s="198"/>
      <c r="H3" s="198"/>
      <c r="I3" s="198"/>
      <c r="J3" s="198"/>
      <c r="K3" s="199"/>
      <c r="L3" s="199"/>
      <c r="M3" s="3"/>
    </row>
    <row r="5" spans="1:60" ht="23.25">
      <c r="B5" s="569" t="s">
        <v>257</v>
      </c>
      <c r="C5" s="570"/>
      <c r="D5" s="570"/>
      <c r="E5" s="570"/>
      <c r="F5" s="570"/>
      <c r="G5" s="570"/>
      <c r="H5" s="570"/>
      <c r="I5" s="570"/>
      <c r="J5" s="570"/>
      <c r="K5" s="570"/>
      <c r="L5" s="570"/>
      <c r="M5" s="570"/>
      <c r="N5" s="570"/>
      <c r="O5" s="570"/>
    </row>
    <row r="7" spans="1:60" ht="21">
      <c r="B7" s="602" t="s">
        <v>192</v>
      </c>
      <c r="C7" s="603"/>
      <c r="D7" s="604"/>
      <c r="E7" s="602" t="s">
        <v>193</v>
      </c>
      <c r="F7" s="603"/>
      <c r="G7" s="603"/>
      <c r="H7" s="603"/>
      <c r="I7" s="604"/>
      <c r="J7" s="602" t="s">
        <v>194</v>
      </c>
      <c r="K7" s="603"/>
      <c r="L7" s="604"/>
      <c r="M7" s="602" t="s">
        <v>195</v>
      </c>
      <c r="N7" s="603"/>
      <c r="O7" s="604"/>
    </row>
    <row r="8" spans="1:60" ht="92.25" customHeight="1">
      <c r="B8" s="529" t="str">
        <f>+'Introducción de datos'!B27</f>
        <v>F1: Presupuesto y desembolsos del Fondo Mundial</v>
      </c>
      <c r="C8" s="598"/>
      <c r="D8" s="599"/>
      <c r="E8" s="605" t="s">
        <v>267</v>
      </c>
      <c r="F8" s="606"/>
      <c r="G8" s="606"/>
      <c r="H8" s="606"/>
      <c r="I8" s="607"/>
      <c r="J8" s="601" t="s">
        <v>215</v>
      </c>
      <c r="K8" s="536"/>
      <c r="L8" s="537"/>
      <c r="M8" s="601" t="s">
        <v>259</v>
      </c>
      <c r="N8" s="536"/>
      <c r="O8" s="537"/>
    </row>
    <row r="9" spans="1:60" ht="117.75" customHeight="1">
      <c r="B9" s="529" t="str">
        <f>+'Introducción de datos'!B36</f>
        <v>F2: Presupuesto y gastos reales por objetivo de la subvención</v>
      </c>
      <c r="C9" s="598"/>
      <c r="D9" s="599"/>
      <c r="E9" s="532" t="s">
        <v>268</v>
      </c>
      <c r="F9" s="560"/>
      <c r="G9" s="560"/>
      <c r="H9" s="560"/>
      <c r="I9" s="561"/>
      <c r="J9" s="535" t="s">
        <v>196</v>
      </c>
      <c r="K9" s="536"/>
      <c r="L9" s="537"/>
      <c r="M9" s="535" t="s">
        <v>259</v>
      </c>
      <c r="N9" s="536"/>
      <c r="O9" s="537"/>
    </row>
    <row r="10" spans="1:60" ht="233.25" customHeight="1">
      <c r="B10" s="593" t="str">
        <f>+'Introducción de datos'!B49</f>
        <v>F3: Desembolsos y gastos</v>
      </c>
      <c r="C10" s="596"/>
      <c r="D10" s="597"/>
      <c r="E10" s="580" t="s">
        <v>265</v>
      </c>
      <c r="F10" s="533"/>
      <c r="G10" s="533"/>
      <c r="H10" s="533"/>
      <c r="I10" s="534"/>
      <c r="J10" s="562" t="s">
        <v>110</v>
      </c>
      <c r="K10" s="536"/>
      <c r="L10" s="537"/>
      <c r="M10" s="535" t="s">
        <v>260</v>
      </c>
      <c r="N10" s="536"/>
      <c r="O10" s="537"/>
    </row>
    <row r="11" spans="1:60" ht="279.75" customHeight="1">
      <c r="B11" s="593" t="str">
        <f>+'Introducción de datos'!B58</f>
        <v>F4: Último ciclo de información y desembolso del RP</v>
      </c>
      <c r="C11" s="594"/>
      <c r="D11" s="595"/>
      <c r="E11" s="580" t="s">
        <v>266</v>
      </c>
      <c r="F11" s="533"/>
      <c r="G11" s="533"/>
      <c r="H11" s="533"/>
      <c r="I11" s="534"/>
      <c r="J11" s="562" t="s">
        <v>101</v>
      </c>
      <c r="K11" s="536"/>
      <c r="L11" s="537"/>
      <c r="M11" s="535" t="s">
        <v>0</v>
      </c>
      <c r="N11" s="536"/>
      <c r="O11" s="537"/>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4"/>
      <c r="AY11" s="444"/>
      <c r="AZ11" s="444"/>
      <c r="BA11" s="444"/>
      <c r="BB11" s="444"/>
      <c r="BC11" s="444"/>
      <c r="BD11" s="444"/>
      <c r="BE11" s="444"/>
      <c r="BF11" s="444"/>
      <c r="BG11" s="444"/>
      <c r="BH11" s="444"/>
    </row>
    <row r="12" spans="1:60" s="19" customFormat="1">
      <c r="B12" s="591"/>
      <c r="C12" s="591"/>
      <c r="D12" s="591"/>
      <c r="E12" s="590"/>
      <c r="F12" s="590"/>
      <c r="G12" s="590"/>
      <c r="H12" s="590"/>
      <c r="I12" s="590"/>
      <c r="J12" s="590"/>
      <c r="K12" s="590"/>
      <c r="L12" s="590"/>
      <c r="M12" s="590"/>
      <c r="N12" s="590"/>
      <c r="O12" s="590"/>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5"/>
      <c r="AY12" s="445"/>
      <c r="AZ12" s="445"/>
      <c r="BA12" s="445"/>
      <c r="BB12" s="445"/>
      <c r="BC12" s="445"/>
      <c r="BD12" s="445"/>
      <c r="BE12" s="445"/>
      <c r="BF12" s="445"/>
      <c r="BG12" s="445"/>
      <c r="BH12" s="445"/>
    </row>
    <row r="13" spans="1:60" s="19" customFormat="1">
      <c r="B13" s="589"/>
      <c r="C13" s="589"/>
      <c r="D13" s="589"/>
      <c r="E13" s="592"/>
      <c r="F13" s="592"/>
      <c r="G13" s="592"/>
      <c r="H13" s="592"/>
      <c r="I13" s="592"/>
      <c r="J13" s="592"/>
      <c r="K13" s="592"/>
      <c r="L13" s="592"/>
      <c r="M13" s="592"/>
      <c r="N13" s="592"/>
      <c r="O13" s="592"/>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5"/>
      <c r="AU13" s="445"/>
      <c r="AV13" s="445"/>
      <c r="AW13" s="445"/>
      <c r="AX13" s="445"/>
      <c r="AY13" s="445"/>
      <c r="AZ13" s="445"/>
      <c r="BA13" s="445"/>
      <c r="BB13" s="445"/>
      <c r="BC13" s="445"/>
      <c r="BD13" s="445"/>
      <c r="BE13" s="445"/>
      <c r="BF13" s="445"/>
      <c r="BG13" s="445"/>
      <c r="BH13" s="445"/>
    </row>
    <row r="14" spans="1:60" s="19" customFormat="1">
      <c r="B14" s="589"/>
      <c r="C14" s="589"/>
      <c r="D14" s="589"/>
      <c r="E14" s="592"/>
      <c r="F14" s="592"/>
      <c r="G14" s="592"/>
      <c r="H14" s="592"/>
      <c r="I14" s="592"/>
      <c r="J14" s="592"/>
      <c r="K14" s="592"/>
      <c r="L14" s="592"/>
      <c r="M14" s="592"/>
      <c r="N14" s="592"/>
      <c r="O14" s="592"/>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5"/>
      <c r="AY14" s="445"/>
      <c r="AZ14" s="445"/>
      <c r="BA14" s="445"/>
      <c r="BB14" s="445"/>
      <c r="BC14" s="445"/>
      <c r="BD14" s="445"/>
      <c r="BE14" s="445"/>
      <c r="BF14" s="445"/>
      <c r="BG14" s="445"/>
      <c r="BH14" s="445"/>
    </row>
    <row r="15" spans="1:60" s="19" customFormat="1">
      <c r="B15" s="589"/>
      <c r="C15" s="589"/>
      <c r="D15" s="589"/>
      <c r="E15" s="592"/>
      <c r="F15" s="592"/>
      <c r="G15" s="592"/>
      <c r="H15" s="592"/>
      <c r="I15" s="592"/>
      <c r="J15" s="592"/>
      <c r="K15" s="592"/>
      <c r="L15" s="592"/>
      <c r="M15" s="592"/>
      <c r="N15" s="592"/>
      <c r="O15" s="592"/>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45"/>
      <c r="BC15" s="445"/>
      <c r="BD15" s="445"/>
      <c r="BE15" s="445"/>
      <c r="BF15" s="445"/>
      <c r="BG15" s="445"/>
      <c r="BH15" s="445"/>
    </row>
    <row r="16" spans="1:60" ht="23.25">
      <c r="B16" s="569" t="s">
        <v>198</v>
      </c>
      <c r="C16" s="570"/>
      <c r="D16" s="570"/>
      <c r="E16" s="570"/>
      <c r="F16" s="570"/>
      <c r="G16" s="570"/>
      <c r="H16" s="570"/>
      <c r="I16" s="570"/>
      <c r="J16" s="570"/>
      <c r="K16" s="570"/>
      <c r="L16" s="570"/>
      <c r="M16" s="570"/>
      <c r="N16" s="570"/>
      <c r="O16" s="570"/>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c r="BA16" s="444"/>
      <c r="BB16" s="444"/>
      <c r="BC16" s="444"/>
      <c r="BD16" s="444"/>
      <c r="BE16" s="444"/>
      <c r="BF16" s="444"/>
      <c r="BG16" s="444"/>
      <c r="BH16" s="444"/>
    </row>
    <row r="17" spans="1:60">
      <c r="S17" s="444"/>
      <c r="T17" s="444"/>
      <c r="U17" s="444"/>
      <c r="V17" s="444"/>
      <c r="W17" s="444"/>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c r="AT17" s="444"/>
      <c r="AU17" s="444"/>
      <c r="AV17" s="444"/>
      <c r="AW17" s="444"/>
      <c r="AX17" s="444"/>
      <c r="AY17" s="444"/>
      <c r="AZ17" s="444"/>
      <c r="BA17" s="444"/>
      <c r="BB17" s="444"/>
      <c r="BC17" s="444"/>
      <c r="BD17" s="444"/>
      <c r="BE17" s="444"/>
      <c r="BF17" s="444"/>
      <c r="BG17" s="444"/>
      <c r="BH17" s="444"/>
    </row>
    <row r="18" spans="1:60" ht="21">
      <c r="B18" s="563" t="s">
        <v>192</v>
      </c>
      <c r="C18" s="564"/>
      <c r="D18" s="565"/>
      <c r="E18" s="563" t="s">
        <v>193</v>
      </c>
      <c r="F18" s="564"/>
      <c r="G18" s="564"/>
      <c r="H18" s="564"/>
      <c r="I18" s="565"/>
      <c r="J18" s="563" t="s">
        <v>194</v>
      </c>
      <c r="K18" s="564"/>
      <c r="L18" s="565"/>
      <c r="M18" s="563" t="s">
        <v>102</v>
      </c>
      <c r="N18" s="564"/>
      <c r="O18" s="565"/>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444"/>
      <c r="AY18" s="444"/>
      <c r="AZ18" s="444"/>
      <c r="BA18" s="444"/>
      <c r="BB18" s="444"/>
      <c r="BC18" s="444"/>
      <c r="BD18" s="444"/>
      <c r="BE18" s="444"/>
      <c r="BF18" s="444"/>
      <c r="BG18" s="444"/>
      <c r="BH18" s="444"/>
    </row>
    <row r="19" spans="1:60" ht="149.25" customHeight="1">
      <c r="B19" s="529" t="str">
        <f>+'Introducción de datos'!B69</f>
        <v>M1: Estado de las condiciones precedentes y acciones con fecha límite</v>
      </c>
      <c r="C19" s="530"/>
      <c r="D19" s="531"/>
      <c r="E19" s="580" t="s">
        <v>297</v>
      </c>
      <c r="F19" s="533"/>
      <c r="G19" s="533"/>
      <c r="H19" s="533"/>
      <c r="I19" s="534"/>
      <c r="J19" s="535" t="s">
        <v>298</v>
      </c>
      <c r="K19" s="536"/>
      <c r="L19" s="537"/>
      <c r="M19" s="535" t="s">
        <v>261</v>
      </c>
      <c r="N19" s="536"/>
      <c r="O19" s="537"/>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444"/>
      <c r="BD19" s="444"/>
      <c r="BE19" s="444"/>
      <c r="BF19" s="444"/>
      <c r="BG19" s="444"/>
      <c r="BH19" s="444"/>
    </row>
    <row r="20" spans="1:60" ht="102.75" customHeight="1">
      <c r="B20" s="529" t="str">
        <f>+'Introducción de datos'!B76</f>
        <v>M2: Estado de los principales puestos directivos del RP</v>
      </c>
      <c r="C20" s="530"/>
      <c r="D20" s="531"/>
      <c r="E20" s="580" t="s">
        <v>269</v>
      </c>
      <c r="F20" s="533"/>
      <c r="G20" s="533"/>
      <c r="H20" s="533"/>
      <c r="I20" s="534"/>
      <c r="J20" s="535" t="s">
        <v>103</v>
      </c>
      <c r="K20" s="536"/>
      <c r="L20" s="537"/>
      <c r="M20" s="535" t="s">
        <v>104</v>
      </c>
      <c r="N20" s="536"/>
      <c r="O20" s="537"/>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row>
    <row r="21" spans="1:60" ht="137.25" customHeight="1">
      <c r="B21" s="529" t="str">
        <f>+'Introducción de datos'!B81</f>
        <v xml:space="preserve">M3: Acuerdos contractuales (subreceptores) </v>
      </c>
      <c r="C21" s="530"/>
      <c r="D21" s="531"/>
      <c r="E21" s="532" t="s">
        <v>271</v>
      </c>
      <c r="F21" s="533"/>
      <c r="G21" s="533"/>
      <c r="H21" s="533"/>
      <c r="I21" s="534"/>
      <c r="J21" s="535" t="s">
        <v>105</v>
      </c>
      <c r="K21" s="536"/>
      <c r="L21" s="537"/>
      <c r="M21" s="535" t="s">
        <v>262</v>
      </c>
      <c r="N21" s="536"/>
      <c r="O21" s="537"/>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4"/>
      <c r="BG21" s="444"/>
      <c r="BH21" s="444"/>
    </row>
    <row r="22" spans="1:60" ht="74.25" customHeight="1">
      <c r="B22" s="529" t="str">
        <f>+'Introducción de datos'!B86</f>
        <v>M4: Número de informes completos recibidos a tiempo</v>
      </c>
      <c r="C22" s="530"/>
      <c r="D22" s="531"/>
      <c r="E22" s="559" t="s">
        <v>106</v>
      </c>
      <c r="F22" s="560"/>
      <c r="G22" s="560"/>
      <c r="H22" s="560"/>
      <c r="I22" s="561"/>
      <c r="J22" s="562" t="s">
        <v>107</v>
      </c>
      <c r="K22" s="536"/>
      <c r="L22" s="537"/>
      <c r="M22" s="535" t="s">
        <v>108</v>
      </c>
      <c r="N22" s="536"/>
      <c r="O22" s="537"/>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444"/>
    </row>
    <row r="23" spans="1:60" ht="207.75" customHeight="1">
      <c r="B23" s="581" t="str">
        <f>+'Introducción de datos'!B92</f>
        <v>M5: Presupuesto y compra de productos y equipo sanitario, medicamentos y productos farmacéuticos</v>
      </c>
      <c r="C23" s="582"/>
      <c r="D23" s="583"/>
      <c r="E23" s="538" t="s">
        <v>299</v>
      </c>
      <c r="F23" s="539"/>
      <c r="G23" s="539"/>
      <c r="H23" s="539"/>
      <c r="I23" s="540"/>
      <c r="J23" s="550" t="s">
        <v>109</v>
      </c>
      <c r="K23" s="551"/>
      <c r="L23" s="552"/>
      <c r="M23" s="550" t="s">
        <v>263</v>
      </c>
      <c r="N23" s="551"/>
      <c r="O23" s="552"/>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row>
    <row r="24" spans="1:60" ht="114.75" customHeight="1">
      <c r="B24" s="584"/>
      <c r="C24" s="585"/>
      <c r="D24" s="586"/>
      <c r="E24" s="544" t="s">
        <v>300</v>
      </c>
      <c r="F24" s="545"/>
      <c r="G24" s="545"/>
      <c r="H24" s="545"/>
      <c r="I24" s="546"/>
      <c r="J24" s="553"/>
      <c r="K24" s="554"/>
      <c r="L24" s="555"/>
      <c r="M24" s="553"/>
      <c r="N24" s="554"/>
      <c r="O24" s="555"/>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c r="AQ24" s="444"/>
      <c r="AR24" s="444"/>
      <c r="AS24" s="444"/>
      <c r="AT24" s="444"/>
      <c r="AU24" s="444"/>
      <c r="AV24" s="444"/>
      <c r="AW24" s="444"/>
      <c r="AX24" s="444"/>
      <c r="AY24" s="444"/>
      <c r="AZ24" s="444"/>
      <c r="BA24" s="444"/>
      <c r="BB24" s="444"/>
      <c r="BC24" s="444"/>
      <c r="BD24" s="444"/>
      <c r="BE24" s="444"/>
      <c r="BF24" s="444"/>
      <c r="BG24" s="444"/>
      <c r="BH24" s="444"/>
    </row>
    <row r="25" spans="1:60" ht="206.25" customHeight="1">
      <c r="B25" s="529" t="str">
        <f>+'Introducción de datos'!B105</f>
        <v>M6: Diferencia entre existencias actuales y existencias de seguridad</v>
      </c>
      <c r="C25" s="530"/>
      <c r="D25" s="531"/>
      <c r="E25" s="541" t="s">
        <v>301</v>
      </c>
      <c r="F25" s="542"/>
      <c r="G25" s="542"/>
      <c r="H25" s="542"/>
      <c r="I25" s="543"/>
      <c r="J25" s="547" t="s">
        <v>14</v>
      </c>
      <c r="K25" s="548"/>
      <c r="L25" s="549"/>
      <c r="M25" s="556" t="s">
        <v>264</v>
      </c>
      <c r="N25" s="557"/>
      <c r="O25" s="558"/>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4"/>
      <c r="AQ25" s="444"/>
      <c r="AR25" s="444"/>
      <c r="AS25" s="444"/>
      <c r="AT25" s="444"/>
      <c r="AU25" s="444"/>
      <c r="AV25" s="444"/>
      <c r="AW25" s="444"/>
      <c r="AX25" s="444"/>
      <c r="AY25" s="444"/>
      <c r="AZ25" s="444"/>
      <c r="BA25" s="444"/>
      <c r="BB25" s="444"/>
      <c r="BC25" s="444"/>
      <c r="BD25" s="444"/>
      <c r="BE25" s="444"/>
      <c r="BF25" s="444"/>
      <c r="BG25" s="444"/>
      <c r="BH25" s="444"/>
    </row>
    <row r="26" spans="1:60">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444"/>
      <c r="AU26" s="444"/>
      <c r="AV26" s="444"/>
      <c r="AW26" s="444"/>
      <c r="AX26" s="444"/>
      <c r="AY26" s="444"/>
      <c r="AZ26" s="444"/>
      <c r="BA26" s="444"/>
      <c r="BB26" s="444"/>
      <c r="BC26" s="444"/>
      <c r="BD26" s="444"/>
      <c r="BE26" s="444"/>
      <c r="BF26" s="444"/>
      <c r="BG26" s="444"/>
      <c r="BH26" s="444"/>
    </row>
    <row r="27" spans="1:60">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4"/>
      <c r="BA27" s="444"/>
      <c r="BB27" s="444"/>
      <c r="BC27" s="444"/>
      <c r="BD27" s="444"/>
      <c r="BE27" s="444"/>
      <c r="BF27" s="444"/>
      <c r="BG27" s="444"/>
      <c r="BH27" s="444"/>
    </row>
    <row r="28" spans="1:60">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c r="BH28" s="444"/>
    </row>
    <row r="29" spans="1:60" ht="18.75">
      <c r="B29" s="231"/>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c r="BH29" s="444"/>
    </row>
    <row r="30" spans="1:60" ht="23.25">
      <c r="B30" s="569" t="s">
        <v>258</v>
      </c>
      <c r="C30" s="570"/>
      <c r="D30" s="570"/>
      <c r="E30" s="570"/>
      <c r="F30" s="570"/>
      <c r="G30" s="570"/>
      <c r="H30" s="570"/>
      <c r="I30" s="570"/>
      <c r="J30" s="570"/>
      <c r="K30" s="570"/>
      <c r="L30" s="570"/>
      <c r="M30" s="570"/>
      <c r="N30" s="570"/>
      <c r="O30" s="570"/>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row>
    <row r="31" spans="1:60">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c r="BH31" s="444"/>
    </row>
    <row r="32" spans="1:60" ht="28.5" customHeight="1">
      <c r="A32" s="222"/>
      <c r="B32" s="571" t="s">
        <v>15</v>
      </c>
      <c r="C32" s="572"/>
      <c r="D32" s="573"/>
      <c r="E32" s="574" t="s">
        <v>270</v>
      </c>
      <c r="F32" s="575"/>
      <c r="G32" s="575"/>
      <c r="H32" s="575"/>
      <c r="I32" s="576"/>
      <c r="J32" s="574" t="s">
        <v>194</v>
      </c>
      <c r="K32" s="575"/>
      <c r="L32" s="576"/>
      <c r="M32" s="574" t="s">
        <v>102</v>
      </c>
      <c r="N32" s="575"/>
      <c r="O32" s="576"/>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4"/>
      <c r="BC32" s="444"/>
      <c r="BD32" s="444"/>
      <c r="BE32" s="444"/>
      <c r="BF32" s="444"/>
      <c r="BG32" s="444"/>
      <c r="BH32" s="444"/>
    </row>
    <row r="33" spans="1:60" ht="47.25" customHeight="1">
      <c r="A33" s="223"/>
      <c r="B33" s="511"/>
      <c r="C33" s="512"/>
      <c r="D33" s="513"/>
      <c r="E33" s="508"/>
      <c r="F33" s="509"/>
      <c r="G33" s="509"/>
      <c r="H33" s="509"/>
      <c r="I33" s="510"/>
      <c r="J33" s="505"/>
      <c r="K33" s="506"/>
      <c r="L33" s="507"/>
      <c r="M33" s="505"/>
      <c r="N33" s="506"/>
      <c r="O33" s="507"/>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row>
    <row r="34" spans="1:60" ht="59.25" customHeight="1">
      <c r="A34" s="223"/>
      <c r="B34" s="511"/>
      <c r="C34" s="512"/>
      <c r="D34" s="513"/>
      <c r="E34" s="508"/>
      <c r="F34" s="509"/>
      <c r="G34" s="509"/>
      <c r="H34" s="509"/>
      <c r="I34" s="510"/>
      <c r="J34" s="505"/>
      <c r="K34" s="506"/>
      <c r="L34" s="507"/>
      <c r="M34" s="505"/>
      <c r="N34" s="506"/>
      <c r="O34" s="507"/>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4"/>
      <c r="BC34" s="444"/>
      <c r="BD34" s="444"/>
      <c r="BE34" s="444"/>
      <c r="BF34" s="444"/>
      <c r="BG34" s="444"/>
      <c r="BH34" s="444"/>
    </row>
    <row r="35" spans="1:60" ht="57.75" customHeight="1">
      <c r="A35" s="223"/>
      <c r="B35" s="511"/>
      <c r="C35" s="512"/>
      <c r="D35" s="513"/>
      <c r="E35" s="505"/>
      <c r="F35" s="506"/>
      <c r="G35" s="506"/>
      <c r="H35" s="506"/>
      <c r="I35" s="507"/>
      <c r="J35" s="505"/>
      <c r="K35" s="506"/>
      <c r="L35" s="507"/>
      <c r="M35" s="505"/>
      <c r="N35" s="506"/>
      <c r="O35" s="507"/>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4"/>
      <c r="AY35" s="444"/>
      <c r="AZ35" s="444"/>
      <c r="BA35" s="444"/>
      <c r="BB35" s="444"/>
      <c r="BC35" s="444"/>
      <c r="BD35" s="444"/>
      <c r="BE35" s="444"/>
      <c r="BF35" s="444"/>
      <c r="BG35" s="444"/>
      <c r="BH35" s="444"/>
    </row>
    <row r="36" spans="1:60" ht="9.75" customHeight="1">
      <c r="A36" s="223"/>
      <c r="B36" s="523"/>
      <c r="C36" s="524"/>
      <c r="D36" s="525"/>
      <c r="E36" s="224"/>
      <c r="F36" s="225"/>
      <c r="G36" s="225"/>
      <c r="H36" s="225"/>
      <c r="I36" s="226"/>
      <c r="J36" s="244"/>
      <c r="K36" s="245"/>
      <c r="L36" s="246"/>
      <c r="M36" s="244"/>
      <c r="N36" s="245"/>
      <c r="O36" s="246"/>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row>
    <row r="37" spans="1:60" ht="46.5" customHeight="1">
      <c r="A37" s="223"/>
      <c r="B37" s="511"/>
      <c r="C37" s="512"/>
      <c r="D37" s="513"/>
      <c r="E37" s="505"/>
      <c r="F37" s="587"/>
      <c r="G37" s="587"/>
      <c r="H37" s="587"/>
      <c r="I37" s="588"/>
      <c r="J37" s="239"/>
      <c r="K37" s="240"/>
      <c r="L37" s="241"/>
      <c r="M37" s="239"/>
      <c r="N37" s="240"/>
      <c r="O37" s="241"/>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c r="BH37" s="444"/>
    </row>
    <row r="38" spans="1:60" ht="69" customHeight="1">
      <c r="A38" s="223"/>
      <c r="B38" s="511"/>
      <c r="C38" s="512"/>
      <c r="D38" s="513"/>
      <c r="E38" s="508"/>
      <c r="F38" s="509"/>
      <c r="G38" s="509"/>
      <c r="H38" s="509"/>
      <c r="I38" s="510"/>
      <c r="J38" s="505"/>
      <c r="K38" s="506"/>
      <c r="L38" s="507"/>
      <c r="M38" s="505"/>
      <c r="N38" s="506"/>
      <c r="O38" s="507"/>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c r="BH38" s="444"/>
    </row>
    <row r="39" spans="1:60" ht="64.5" customHeight="1">
      <c r="A39" s="223"/>
      <c r="B39" s="520"/>
      <c r="C39" s="521"/>
      <c r="D39" s="522"/>
      <c r="E39" s="505"/>
      <c r="F39" s="506"/>
      <c r="G39" s="506"/>
      <c r="H39" s="506"/>
      <c r="I39" s="507"/>
      <c r="J39" s="239"/>
      <c r="K39" s="240"/>
      <c r="L39" s="241"/>
      <c r="M39" s="239"/>
      <c r="N39" s="240"/>
      <c r="O39" s="241"/>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4"/>
      <c r="BB39" s="444"/>
      <c r="BC39" s="444"/>
      <c r="BD39" s="444"/>
      <c r="BE39" s="444"/>
      <c r="BF39" s="444"/>
      <c r="BG39" s="444"/>
      <c r="BH39" s="444"/>
    </row>
    <row r="40" spans="1:60" ht="45" customHeight="1">
      <c r="A40" s="223"/>
      <c r="B40" s="517"/>
      <c r="C40" s="518"/>
      <c r="D40" s="519"/>
      <c r="E40" s="526"/>
      <c r="F40" s="527"/>
      <c r="G40" s="527"/>
      <c r="H40" s="527"/>
      <c r="I40" s="528"/>
      <c r="J40" s="505"/>
      <c r="K40" s="506"/>
      <c r="L40" s="507"/>
      <c r="M40" s="505"/>
      <c r="N40" s="506"/>
      <c r="O40" s="507"/>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4"/>
      <c r="BD40" s="444"/>
      <c r="BE40" s="444"/>
      <c r="BF40" s="444"/>
      <c r="BG40" s="444"/>
      <c r="BH40" s="444"/>
    </row>
    <row r="41" spans="1:60" ht="62.25" customHeight="1">
      <c r="A41" s="223"/>
      <c r="B41" s="520"/>
      <c r="C41" s="521"/>
      <c r="D41" s="522"/>
      <c r="E41" s="508"/>
      <c r="F41" s="509"/>
      <c r="G41" s="509"/>
      <c r="H41" s="509"/>
      <c r="I41" s="510"/>
      <c r="J41" s="505"/>
      <c r="K41" s="506"/>
      <c r="L41" s="507"/>
      <c r="M41" s="505"/>
      <c r="N41" s="506"/>
      <c r="O41" s="507"/>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c r="BE41" s="444"/>
      <c r="BF41" s="444"/>
      <c r="BG41" s="444"/>
      <c r="BH41" s="444"/>
    </row>
    <row r="42" spans="1:60" ht="84" customHeight="1">
      <c r="A42" s="223"/>
      <c r="B42" s="520"/>
      <c r="C42" s="521"/>
      <c r="D42" s="522"/>
      <c r="E42" s="505"/>
      <c r="F42" s="506"/>
      <c r="G42" s="506"/>
      <c r="H42" s="506"/>
      <c r="I42" s="507"/>
      <c r="J42" s="239"/>
      <c r="K42" s="240"/>
      <c r="L42" s="241"/>
      <c r="M42" s="239"/>
      <c r="N42" s="240"/>
      <c r="O42" s="241"/>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4"/>
      <c r="BG42" s="444"/>
      <c r="BH42" s="444"/>
    </row>
    <row r="43" spans="1:60" ht="45" customHeight="1">
      <c r="A43" s="223"/>
      <c r="B43" s="520"/>
      <c r="C43" s="521"/>
      <c r="D43" s="522"/>
      <c r="E43" s="508"/>
      <c r="F43" s="509"/>
      <c r="G43" s="509"/>
      <c r="H43" s="509"/>
      <c r="I43" s="510"/>
      <c r="J43" s="505"/>
      <c r="K43" s="506"/>
      <c r="L43" s="507"/>
      <c r="M43" s="239"/>
      <c r="N43" s="240"/>
      <c r="O43" s="241"/>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row>
    <row r="44" spans="1:60" ht="64.5" customHeight="1">
      <c r="A44" s="223"/>
      <c r="B44" s="517"/>
      <c r="C44" s="518"/>
      <c r="D44" s="519"/>
      <c r="E44" s="508"/>
      <c r="F44" s="509"/>
      <c r="G44" s="509"/>
      <c r="H44" s="509"/>
      <c r="I44" s="510"/>
      <c r="J44" s="505"/>
      <c r="K44" s="506"/>
      <c r="L44" s="507"/>
      <c r="M44" s="239"/>
      <c r="N44" s="240"/>
      <c r="O44" s="241"/>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row>
    <row r="45" spans="1:60" ht="49.5" customHeight="1">
      <c r="B45" s="517"/>
      <c r="C45" s="518"/>
      <c r="D45" s="519"/>
      <c r="E45" s="508"/>
      <c r="F45" s="509"/>
      <c r="G45" s="509"/>
      <c r="H45" s="509"/>
      <c r="I45" s="510"/>
      <c r="J45" s="505"/>
      <c r="K45" s="506"/>
      <c r="L45" s="507"/>
      <c r="M45" s="239"/>
      <c r="N45" s="240"/>
      <c r="O45" s="241"/>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row>
    <row r="46" spans="1:60" ht="30" customHeight="1">
      <c r="B46" s="514"/>
      <c r="C46" s="515"/>
      <c r="D46" s="516"/>
      <c r="E46" s="227"/>
      <c r="F46" s="228"/>
      <c r="G46" s="228"/>
      <c r="H46" s="228"/>
      <c r="I46" s="229"/>
      <c r="J46" s="239"/>
      <c r="K46" s="240"/>
      <c r="L46" s="241"/>
      <c r="M46" s="239"/>
      <c r="N46" s="240"/>
      <c r="O46" s="241"/>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row>
    <row r="47" spans="1:60" ht="33.75" customHeight="1">
      <c r="B47" s="219"/>
      <c r="C47" s="220"/>
      <c r="D47" s="220"/>
      <c r="E47" s="214"/>
      <c r="F47" s="216"/>
      <c r="G47" s="216"/>
      <c r="H47" s="216"/>
      <c r="I47" s="216"/>
      <c r="J47" s="214"/>
      <c r="K47" s="214"/>
      <c r="L47" s="215"/>
      <c r="M47" s="213"/>
      <c r="N47" s="214"/>
      <c r="O47" s="215"/>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row>
    <row r="48" spans="1:60" ht="15.75" customHeight="1">
      <c r="B48" s="577" t="s">
        <v>1</v>
      </c>
      <c r="C48" s="578"/>
      <c r="D48" s="578"/>
      <c r="E48" s="578"/>
      <c r="F48" s="578"/>
      <c r="G48" s="578"/>
      <c r="H48" s="578"/>
      <c r="I48" s="578"/>
      <c r="J48" s="578"/>
      <c r="K48" s="578"/>
      <c r="L48" s="579"/>
      <c r="M48" s="566" t="s">
        <v>16</v>
      </c>
      <c r="N48" s="567"/>
      <c r="O48" s="568"/>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row>
    <row r="49" spans="4:60">
      <c r="D49" s="200"/>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row>
    <row r="50" spans="4:60">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row>
    <row r="51" spans="4:60">
      <c r="D51" s="200"/>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c r="BH51" s="444"/>
    </row>
    <row r="52" spans="4:60">
      <c r="D52" s="200"/>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c r="BH52" s="444"/>
    </row>
    <row r="53" spans="4:60">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c r="BA53" s="444"/>
      <c r="BB53" s="444"/>
      <c r="BC53" s="444"/>
      <c r="BD53" s="444"/>
      <c r="BE53" s="444"/>
      <c r="BF53" s="444"/>
      <c r="BG53" s="444"/>
      <c r="BH53" s="444"/>
    </row>
    <row r="54" spans="4:60">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c r="BF54" s="444"/>
      <c r="BG54" s="444"/>
      <c r="BH54" s="444"/>
    </row>
    <row r="55" spans="4:60">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4"/>
      <c r="BA55" s="444"/>
      <c r="BB55" s="444"/>
      <c r="BC55" s="444"/>
      <c r="BD55" s="444"/>
      <c r="BE55" s="444"/>
      <c r="BF55" s="444"/>
      <c r="BG55" s="444"/>
      <c r="BH55" s="444"/>
    </row>
    <row r="56" spans="4:60">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c r="BE56" s="444"/>
      <c r="BF56" s="444"/>
      <c r="BG56" s="444"/>
      <c r="BH56" s="444"/>
    </row>
    <row r="57" spans="4:60">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44"/>
      <c r="BE57" s="444"/>
      <c r="BF57" s="444"/>
      <c r="BG57" s="444"/>
      <c r="BH57" s="444"/>
    </row>
  </sheetData>
  <sheetProtection password="CFC9" sheet="1"/>
  <mergeCells count="116">
    <mergeCell ref="B2:M2"/>
    <mergeCell ref="B5:O5"/>
    <mergeCell ref="M8:O8"/>
    <mergeCell ref="J8:L8"/>
    <mergeCell ref="E7:I7"/>
    <mergeCell ref="J7:L7"/>
    <mergeCell ref="M7:O7"/>
    <mergeCell ref="B8:D8"/>
    <mergeCell ref="B7:D7"/>
    <mergeCell ref="E8:I8"/>
    <mergeCell ref="E10:I10"/>
    <mergeCell ref="B16:O16"/>
    <mergeCell ref="B14:D14"/>
    <mergeCell ref="B11:D11"/>
    <mergeCell ref="M9:O9"/>
    <mergeCell ref="J10:L10"/>
    <mergeCell ref="M10:O10"/>
    <mergeCell ref="B10:D10"/>
    <mergeCell ref="B9:D9"/>
    <mergeCell ref="E9:I9"/>
    <mergeCell ref="J9:L9"/>
    <mergeCell ref="M14:O14"/>
    <mergeCell ref="B19:D19"/>
    <mergeCell ref="E19:I19"/>
    <mergeCell ref="J19:L19"/>
    <mergeCell ref="B18:D18"/>
    <mergeCell ref="M19:O19"/>
    <mergeCell ref="E18:I18"/>
    <mergeCell ref="B15:D15"/>
    <mergeCell ref="J11:L11"/>
    <mergeCell ref="E12:I12"/>
    <mergeCell ref="B13:D13"/>
    <mergeCell ref="B12:D12"/>
    <mergeCell ref="M11:O11"/>
    <mergeCell ref="J12:L12"/>
    <mergeCell ref="M12:O12"/>
    <mergeCell ref="E11:I11"/>
    <mergeCell ref="J18:L18"/>
    <mergeCell ref="M15:O15"/>
    <mergeCell ref="M13:O13"/>
    <mergeCell ref="E14:I14"/>
    <mergeCell ref="J14:L14"/>
    <mergeCell ref="E15:I15"/>
    <mergeCell ref="J15:L15"/>
    <mergeCell ref="E13:I13"/>
    <mergeCell ref="J13:L13"/>
    <mergeCell ref="M18:O18"/>
    <mergeCell ref="M48:O48"/>
    <mergeCell ref="B30:O30"/>
    <mergeCell ref="B32:D32"/>
    <mergeCell ref="E32:I32"/>
    <mergeCell ref="J32:L32"/>
    <mergeCell ref="M32:O32"/>
    <mergeCell ref="E33:I33"/>
    <mergeCell ref="E34:I34"/>
    <mergeCell ref="J41:L41"/>
    <mergeCell ref="E41:I41"/>
    <mergeCell ref="J33:L33"/>
    <mergeCell ref="J34:L34"/>
    <mergeCell ref="B48:L48"/>
    <mergeCell ref="M21:O21"/>
    <mergeCell ref="J20:L20"/>
    <mergeCell ref="M20:O20"/>
    <mergeCell ref="B20:D20"/>
    <mergeCell ref="E20:I20"/>
    <mergeCell ref="B23:D24"/>
    <mergeCell ref="B35:D35"/>
    <mergeCell ref="E37:I37"/>
    <mergeCell ref="M41:O41"/>
    <mergeCell ref="J23:L24"/>
    <mergeCell ref="M33:O33"/>
    <mergeCell ref="M34:O34"/>
    <mergeCell ref="M35:O35"/>
    <mergeCell ref="J40:L40"/>
    <mergeCell ref="M40:O40"/>
    <mergeCell ref="B22:D22"/>
    <mergeCell ref="B21:D21"/>
    <mergeCell ref="E21:I21"/>
    <mergeCell ref="J21:L21"/>
    <mergeCell ref="E23:I23"/>
    <mergeCell ref="B34:D34"/>
    <mergeCell ref="B37:D37"/>
    <mergeCell ref="J35:L35"/>
    <mergeCell ref="J38:L38"/>
    <mergeCell ref="E35:I35"/>
    <mergeCell ref="M22:O22"/>
    <mergeCell ref="E25:I25"/>
    <mergeCell ref="E24:I24"/>
    <mergeCell ref="J25:L25"/>
    <mergeCell ref="M23:O24"/>
    <mergeCell ref="M25:O25"/>
    <mergeCell ref="E22:I22"/>
    <mergeCell ref="J22:L22"/>
    <mergeCell ref="B25:D25"/>
    <mergeCell ref="B36:D36"/>
    <mergeCell ref="B33:D33"/>
    <mergeCell ref="E42:I42"/>
    <mergeCell ref="E43:I43"/>
    <mergeCell ref="B42:D42"/>
    <mergeCell ref="E40:I40"/>
    <mergeCell ref="B41:D41"/>
    <mergeCell ref="B40:D40"/>
    <mergeCell ref="B39:D39"/>
    <mergeCell ref="M38:O38"/>
    <mergeCell ref="E39:I39"/>
    <mergeCell ref="E38:I38"/>
    <mergeCell ref="B38:D38"/>
    <mergeCell ref="B46:D46"/>
    <mergeCell ref="J43:L43"/>
    <mergeCell ref="J44:L44"/>
    <mergeCell ref="J45:L45"/>
    <mergeCell ref="E44:I44"/>
    <mergeCell ref="B44:D44"/>
    <mergeCell ref="B45:D45"/>
    <mergeCell ref="E45:I45"/>
    <mergeCell ref="B43:D43"/>
  </mergeCells>
  <phoneticPr fontId="30" type="noConversion"/>
  <pageMargins left="0.70866141732283472" right="0.70866141732283472" top="0.74803149606299213" bottom="0.74803149606299213" header="0.31496062992125984" footer="0.31496062992125984"/>
  <pageSetup paperSize="9" orientation="landscape" r:id="rId1"/>
  <headerFooter alignWithMargins="0">
    <oddFooter>&amp;L&amp;F&amp;C&amp;A&amp;R&amp;D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pageSetUpPr fitToPage="1"/>
  </sheetPr>
  <dimension ref="A1:AJ152"/>
  <sheetViews>
    <sheetView showGridLines="0" tabSelected="1" topLeftCell="A51" zoomScale="70" zoomScaleNormal="70" workbookViewId="0">
      <selection activeCell="F39" sqref="F39"/>
    </sheetView>
  </sheetViews>
  <sheetFormatPr baseColWidth="10" defaultColWidth="9.140625" defaultRowHeight="15"/>
  <cols>
    <col min="1" max="1" width="2.7109375" customWidth="1"/>
    <col min="2" max="2" width="98.42578125" customWidth="1"/>
    <col min="3" max="3" width="23" customWidth="1"/>
    <col min="4" max="4" width="19.140625" customWidth="1"/>
    <col min="5" max="5" width="16.42578125" customWidth="1"/>
    <col min="6" max="6" width="17.42578125" customWidth="1"/>
    <col min="7" max="7" width="16.42578125" customWidth="1"/>
    <col min="8" max="8" width="17.5703125" customWidth="1"/>
    <col min="9" max="9" width="16.28515625" customWidth="1"/>
    <col min="10" max="10" width="16.85546875" customWidth="1"/>
    <col min="11" max="11" width="18.5703125" customWidth="1"/>
    <col min="12" max="12" width="15.28515625" customWidth="1"/>
    <col min="13" max="13" width="20.5703125" customWidth="1"/>
    <col min="14" max="14" width="14.28515625" style="36" customWidth="1"/>
    <col min="15" max="15" width="15.5703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40" t="s">
        <v>17</v>
      </c>
      <c r="C2" s="640"/>
      <c r="D2" s="640"/>
      <c r="E2" s="640"/>
      <c r="F2" s="640"/>
      <c r="G2" s="640"/>
      <c r="H2" s="640"/>
      <c r="I2" s="640"/>
      <c r="J2" s="640"/>
      <c r="K2" s="258"/>
      <c r="L2" s="258"/>
      <c r="M2" s="258"/>
    </row>
    <row r="3" spans="1:13" ht="4.5" customHeight="1">
      <c r="A3" s="3"/>
      <c r="B3" s="3"/>
      <c r="C3" s="3"/>
      <c r="D3" s="3"/>
      <c r="E3" s="3"/>
      <c r="F3" s="3"/>
      <c r="G3" s="3"/>
      <c r="H3" s="3"/>
      <c r="I3" s="3"/>
      <c r="J3" s="3"/>
      <c r="K3" s="3"/>
      <c r="L3" s="3"/>
      <c r="M3" s="3"/>
    </row>
    <row r="4" spans="1:13">
      <c r="A4" s="3"/>
      <c r="B4" s="380" t="s">
        <v>18</v>
      </c>
      <c r="C4" s="641" t="s">
        <v>251</v>
      </c>
      <c r="D4" s="642"/>
      <c r="E4" s="608" t="s">
        <v>208</v>
      </c>
      <c r="F4" s="609"/>
      <c r="G4" s="643" t="s">
        <v>326</v>
      </c>
      <c r="H4" s="644"/>
      <c r="I4" s="644"/>
      <c r="J4" s="642"/>
      <c r="K4" s="3"/>
      <c r="L4" s="3"/>
      <c r="M4" s="3"/>
    </row>
    <row r="5" spans="1:13" ht="3" customHeight="1">
      <c r="A5" s="3"/>
      <c r="B5" s="257"/>
      <c r="C5" s="3"/>
      <c r="D5" s="3"/>
      <c r="E5" s="259"/>
      <c r="F5" s="259"/>
      <c r="G5" s="3"/>
      <c r="H5" s="3"/>
      <c r="I5" s="3"/>
      <c r="J5" s="3"/>
      <c r="K5" s="3"/>
      <c r="L5" s="3"/>
      <c r="M5" s="3"/>
    </row>
    <row r="6" spans="1:13">
      <c r="A6" s="3"/>
      <c r="B6" s="380" t="s">
        <v>210</v>
      </c>
      <c r="C6" s="643" t="s">
        <v>323</v>
      </c>
      <c r="D6" s="642"/>
      <c r="E6" s="608" t="s">
        <v>19</v>
      </c>
      <c r="F6" s="609"/>
      <c r="G6" s="381" t="s">
        <v>320</v>
      </c>
      <c r="H6" s="429" t="s">
        <v>3</v>
      </c>
      <c r="I6" s="647">
        <v>6264586</v>
      </c>
      <c r="J6" s="648"/>
      <c r="K6" s="3"/>
      <c r="L6" s="3"/>
      <c r="M6" s="3"/>
    </row>
    <row r="7" spans="1:13" ht="3" customHeight="1">
      <c r="A7" s="3"/>
      <c r="B7" s="257"/>
      <c r="C7" s="3"/>
      <c r="D7" s="3"/>
      <c r="E7" s="259"/>
      <c r="F7" s="259"/>
      <c r="G7" s="3"/>
      <c r="H7" s="257"/>
      <c r="I7" s="3"/>
      <c r="J7" s="3"/>
      <c r="K7" s="3"/>
      <c r="L7" s="3"/>
      <c r="M7" s="3"/>
    </row>
    <row r="8" spans="1:13">
      <c r="A8" s="3"/>
      <c r="B8" s="380" t="s">
        <v>2</v>
      </c>
      <c r="C8" s="643" t="s">
        <v>324</v>
      </c>
      <c r="D8" s="642"/>
      <c r="E8" s="260"/>
      <c r="F8" s="382" t="s">
        <v>21</v>
      </c>
      <c r="G8" s="381" t="s">
        <v>276</v>
      </c>
      <c r="H8" s="382" t="s">
        <v>22</v>
      </c>
      <c r="I8" s="641" t="s">
        <v>276</v>
      </c>
      <c r="J8" s="642"/>
      <c r="K8" s="3"/>
      <c r="L8" s="3"/>
      <c r="M8" s="3"/>
    </row>
    <row r="9" spans="1:13" ht="3" customHeight="1">
      <c r="A9" s="3"/>
      <c r="B9" s="259"/>
      <c r="C9" s="448">
        <v>39825</v>
      </c>
      <c r="D9" s="3"/>
      <c r="E9" s="259"/>
      <c r="F9" s="259"/>
      <c r="G9" s="3"/>
      <c r="H9" s="3"/>
      <c r="I9" s="3"/>
      <c r="J9" s="3"/>
      <c r="K9" s="3"/>
      <c r="L9" s="3"/>
      <c r="M9" s="3"/>
    </row>
    <row r="10" spans="1:13">
      <c r="A10" s="3"/>
      <c r="B10" s="380" t="s">
        <v>23</v>
      </c>
      <c r="C10" s="653" t="s">
        <v>325</v>
      </c>
      <c r="D10" s="654"/>
      <c r="E10" s="652" t="s">
        <v>24</v>
      </c>
      <c r="F10" s="651"/>
      <c r="G10" s="641" t="s">
        <v>133</v>
      </c>
      <c r="H10" s="644"/>
      <c r="I10" s="644"/>
      <c r="J10" s="642"/>
      <c r="K10" s="3"/>
      <c r="L10" s="3"/>
      <c r="M10" s="3"/>
    </row>
    <row r="11" spans="1:13" ht="5.25" customHeight="1">
      <c r="A11" s="3"/>
      <c r="B11" s="3"/>
      <c r="C11" s="3"/>
      <c r="D11" s="3"/>
      <c r="E11" s="3"/>
      <c r="F11" s="3"/>
      <c r="G11" s="3"/>
      <c r="H11" s="3"/>
      <c r="I11" s="3"/>
      <c r="J11" s="3"/>
      <c r="K11" s="3"/>
      <c r="L11" s="3"/>
      <c r="M11" s="3"/>
    </row>
    <row r="12" spans="1:13" ht="15" customHeight="1">
      <c r="A12" s="3"/>
      <c r="B12" s="460" t="s">
        <v>277</v>
      </c>
      <c r="C12" s="666" t="s">
        <v>276</v>
      </c>
      <c r="D12" s="666"/>
      <c r="E12" s="655" t="s">
        <v>278</v>
      </c>
      <c r="F12" s="609"/>
      <c r="G12" s="649" t="s">
        <v>336</v>
      </c>
      <c r="H12" s="649"/>
      <c r="I12" s="649"/>
      <c r="J12" s="649"/>
      <c r="K12" s="3"/>
      <c r="L12" s="3"/>
      <c r="M12" s="3"/>
    </row>
    <row r="13" spans="1:13" ht="5.25" customHeight="1">
      <c r="A13" s="3"/>
      <c r="B13" s="3"/>
      <c r="C13" s="3"/>
      <c r="D13" s="3"/>
      <c r="E13" s="3"/>
      <c r="F13" s="3"/>
      <c r="G13" s="3"/>
      <c r="H13" s="3"/>
      <c r="I13" s="3"/>
      <c r="J13" s="3"/>
      <c r="K13" s="3"/>
      <c r="L13" s="3"/>
      <c r="M13" s="3"/>
    </row>
    <row r="14" spans="1:13" ht="15.75" customHeight="1">
      <c r="A14" s="3"/>
      <c r="B14" s="640" t="s">
        <v>26</v>
      </c>
      <c r="C14" s="640"/>
      <c r="D14" s="640"/>
      <c r="E14" s="640"/>
      <c r="F14" s="640"/>
      <c r="G14" s="640"/>
      <c r="H14" s="640"/>
      <c r="I14" s="640"/>
      <c r="J14" s="640"/>
      <c r="K14" s="3"/>
      <c r="L14" s="3"/>
      <c r="M14" s="3"/>
    </row>
    <row r="15" spans="1:13" ht="3" customHeight="1">
      <c r="A15" s="3"/>
      <c r="B15" s="3"/>
      <c r="C15" s="3"/>
      <c r="D15" s="3"/>
      <c r="E15" s="3"/>
      <c r="F15" s="3"/>
      <c r="G15" s="3"/>
      <c r="H15" s="3"/>
      <c r="I15" s="3"/>
      <c r="J15" s="3"/>
      <c r="K15" s="3"/>
      <c r="L15" s="3"/>
      <c r="M15" s="3"/>
    </row>
    <row r="16" spans="1:13">
      <c r="A16" s="3"/>
      <c r="B16" s="460" t="s">
        <v>306</v>
      </c>
      <c r="C16" s="381" t="s">
        <v>156</v>
      </c>
      <c r="D16" s="382" t="s">
        <v>28</v>
      </c>
      <c r="E16" s="261">
        <v>43831</v>
      </c>
      <c r="F16" s="383" t="s">
        <v>29</v>
      </c>
      <c r="G16" s="261">
        <v>44104</v>
      </c>
      <c r="H16" s="645" t="s">
        <v>4</v>
      </c>
      <c r="I16" s="646"/>
      <c r="J16" s="261">
        <v>44134</v>
      </c>
      <c r="K16" s="3"/>
      <c r="L16" s="3"/>
      <c r="M16" s="3"/>
    </row>
    <row r="17" spans="1:35" ht="3" customHeight="1">
      <c r="A17" s="3"/>
      <c r="B17" s="3"/>
      <c r="C17" s="3"/>
      <c r="D17" s="3"/>
      <c r="E17" s="3"/>
      <c r="F17" s="3"/>
      <c r="G17" s="3"/>
      <c r="H17" s="3"/>
      <c r="I17" s="3"/>
      <c r="J17" s="3"/>
      <c r="K17" s="3"/>
      <c r="L17" s="3"/>
      <c r="M17" s="3"/>
    </row>
    <row r="18" spans="1:35">
      <c r="A18" s="3"/>
      <c r="B18" s="650" t="s">
        <v>30</v>
      </c>
      <c r="C18" s="651"/>
      <c r="D18" s="667" t="s">
        <v>324</v>
      </c>
      <c r="E18" s="667"/>
      <c r="F18" s="667"/>
      <c r="G18" s="262"/>
      <c r="H18" s="262"/>
      <c r="I18" s="262"/>
      <c r="J18" s="262"/>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40" t="s">
        <v>31</v>
      </c>
      <c r="C21" s="640"/>
      <c r="D21" s="640"/>
      <c r="E21" s="640"/>
      <c r="F21" s="640"/>
      <c r="G21" s="640"/>
      <c r="H21" s="640"/>
      <c r="I21" s="640"/>
      <c r="J21" s="640"/>
      <c r="K21" s="3"/>
      <c r="L21" s="3"/>
      <c r="M21" s="3"/>
    </row>
    <row r="22" spans="1:35">
      <c r="A22" s="3"/>
      <c r="B22" s="384" t="s">
        <v>32</v>
      </c>
      <c r="C22" s="3"/>
      <c r="D22" s="3"/>
      <c r="E22" s="263"/>
      <c r="F22" s="263"/>
      <c r="G22" s="3"/>
      <c r="H22" s="3"/>
      <c r="I22" s="263"/>
      <c r="J22" s="263"/>
      <c r="K22" s="3"/>
      <c r="L22" s="3"/>
      <c r="M22" s="3"/>
    </row>
    <row r="23" spans="1:35" ht="3" customHeight="1">
      <c r="A23" s="3"/>
      <c r="B23" s="3"/>
      <c r="C23" s="3"/>
      <c r="D23" s="3"/>
      <c r="E23" s="3"/>
      <c r="F23" s="3"/>
      <c r="G23" s="3"/>
      <c r="H23" s="3"/>
      <c r="I23" s="3"/>
      <c r="J23" s="3"/>
      <c r="K23" s="3"/>
      <c r="L23" s="3"/>
      <c r="M23" s="3"/>
    </row>
    <row r="24" spans="1:35" ht="15.75" thickBot="1">
      <c r="A24" s="3"/>
      <c r="B24" s="380" t="s">
        <v>5</v>
      </c>
      <c r="C24" s="342"/>
      <c r="D24" s="608" t="s">
        <v>33</v>
      </c>
      <c r="E24" s="609"/>
      <c r="F24" s="343"/>
      <c r="G24" s="608" t="s">
        <v>34</v>
      </c>
      <c r="H24" s="609"/>
      <c r="I24" s="610"/>
      <c r="J24" s="611"/>
      <c r="K24" s="3"/>
      <c r="L24" s="3"/>
      <c r="M24" s="3"/>
      <c r="N24" s="20"/>
    </row>
    <row r="25" spans="1:35" ht="19.5" thickBot="1">
      <c r="A25" s="3"/>
      <c r="B25" s="84" t="s">
        <v>5</v>
      </c>
      <c r="C25" s="85"/>
      <c r="D25" s="85"/>
      <c r="E25" s="85"/>
      <c r="F25" s="85"/>
      <c r="G25" s="85"/>
      <c r="H25" s="247"/>
      <c r="I25" s="247"/>
      <c r="J25" s="247" t="s">
        <v>244</v>
      </c>
      <c r="K25" s="247"/>
      <c r="L25" s="85"/>
      <c r="M25" s="85"/>
      <c r="N25" s="359"/>
      <c r="O25" s="40"/>
      <c r="AI25" s="44"/>
    </row>
    <row r="26" spans="1:35">
      <c r="A26" s="3"/>
      <c r="B26" s="672" t="s">
        <v>35</v>
      </c>
      <c r="C26" s="673"/>
      <c r="D26" s="385" t="s">
        <v>112</v>
      </c>
      <c r="E26" s="87"/>
      <c r="F26" s="87"/>
      <c r="G26" s="87"/>
      <c r="H26" s="87"/>
      <c r="I26" s="87"/>
      <c r="J26" s="88"/>
      <c r="K26" s="87"/>
      <c r="L26" s="87"/>
      <c r="M26" s="87"/>
      <c r="N26" s="40"/>
      <c r="O26" s="40"/>
      <c r="AI26" s="44"/>
    </row>
    <row r="27" spans="1:35" ht="18.75">
      <c r="A27" s="3"/>
      <c r="B27" s="86" t="s">
        <v>36</v>
      </c>
      <c r="C27" s="87"/>
      <c r="D27" s="87"/>
      <c r="E27" s="87"/>
      <c r="F27" s="87"/>
      <c r="G27" s="87"/>
      <c r="H27" s="87"/>
      <c r="I27" s="87"/>
      <c r="J27" s="88"/>
      <c r="K27" s="87"/>
      <c r="L27" s="87"/>
      <c r="M27" s="87"/>
      <c r="N27" s="40"/>
      <c r="O27" s="40"/>
      <c r="AI27" s="44"/>
    </row>
    <row r="28" spans="1:35" ht="15.75" thickBot="1">
      <c r="A28" s="3"/>
      <c r="B28" s="3"/>
      <c r="C28" s="3"/>
      <c r="D28" s="3"/>
      <c r="E28" s="3"/>
      <c r="F28" s="3"/>
      <c r="G28" s="3"/>
      <c r="H28" s="3"/>
      <c r="I28" s="3"/>
      <c r="J28" s="3"/>
      <c r="K28" s="3"/>
      <c r="L28" s="3"/>
      <c r="M28" s="3"/>
    </row>
    <row r="29" spans="1:35" ht="15.75" thickBot="1">
      <c r="A29" s="3"/>
      <c r="B29" s="614" t="s">
        <v>279</v>
      </c>
      <c r="C29" s="615"/>
      <c r="D29" s="615"/>
      <c r="E29" s="615"/>
      <c r="F29" s="615"/>
      <c r="G29" s="615"/>
      <c r="H29" s="615"/>
      <c r="I29" s="615"/>
      <c r="J29" s="615"/>
      <c r="K29" s="615"/>
      <c r="L29" s="615"/>
      <c r="M29" s="615"/>
      <c r="N29" s="616"/>
      <c r="P29" s="187"/>
      <c r="Q29" s="188"/>
      <c r="R29" s="189">
        <f>+C33</f>
        <v>359935</v>
      </c>
      <c r="S29" s="187"/>
    </row>
    <row r="30" spans="1:35" ht="45" customHeight="1">
      <c r="A30" s="3"/>
      <c r="B30" s="484" t="s">
        <v>6</v>
      </c>
      <c r="C30" s="322" t="s">
        <v>150</v>
      </c>
      <c r="D30" s="322" t="s">
        <v>151</v>
      </c>
      <c r="E30" s="322" t="s">
        <v>152</v>
      </c>
      <c r="F30" s="322" t="s">
        <v>153</v>
      </c>
      <c r="G30" s="322" t="s">
        <v>156</v>
      </c>
      <c r="H30" s="322" t="s">
        <v>157</v>
      </c>
      <c r="I30" s="322" t="s">
        <v>158</v>
      </c>
      <c r="J30" s="322" t="s">
        <v>159</v>
      </c>
      <c r="K30" s="322" t="s">
        <v>160</v>
      </c>
      <c r="L30" s="322" t="s">
        <v>161</v>
      </c>
      <c r="M30" s="322" t="s">
        <v>162</v>
      </c>
      <c r="N30" s="323" t="s">
        <v>182</v>
      </c>
      <c r="O30" s="492" t="s">
        <v>313</v>
      </c>
      <c r="P30" s="187"/>
      <c r="Q30" s="188"/>
      <c r="R30" s="189">
        <f>+D33</f>
        <v>1660995</v>
      </c>
      <c r="S30" s="187"/>
    </row>
    <row r="31" spans="1:35">
      <c r="A31" s="3"/>
      <c r="B31" s="493" t="str">
        <f>CONCATENATE("Presupuesto (en ",'Introducción de datos'!$D$26,")")</f>
        <v>Presupuesto (en $)</v>
      </c>
      <c r="C31" s="332">
        <v>359935</v>
      </c>
      <c r="D31" s="331">
        <v>1301060</v>
      </c>
      <c r="E31" s="331">
        <v>1114068</v>
      </c>
      <c r="F31" s="331">
        <v>717926</v>
      </c>
      <c r="G31" s="331">
        <v>470665</v>
      </c>
      <c r="H31" s="331">
        <v>1000947</v>
      </c>
      <c r="I31" s="331">
        <v>366623</v>
      </c>
      <c r="J31" s="331">
        <v>317987</v>
      </c>
      <c r="K31" s="331">
        <v>121171</v>
      </c>
      <c r="L31" s="331">
        <v>125492</v>
      </c>
      <c r="M31" s="331">
        <v>133377</v>
      </c>
      <c r="N31" s="331">
        <v>235333</v>
      </c>
      <c r="O31" s="697">
        <f>+SUM(C35:N35)</f>
        <v>0</v>
      </c>
      <c r="P31" s="187"/>
      <c r="Q31" s="188"/>
      <c r="R31" s="189">
        <f>+E33</f>
        <v>2775063</v>
      </c>
      <c r="S31" s="187"/>
    </row>
    <row r="32" spans="1:35">
      <c r="A32" s="3"/>
      <c r="B32" s="494" t="str">
        <f>CONCATENATE("Desembolsos por el Fondo Mundial (en ", $D$26,")")</f>
        <v>Desembolsos por el Fondo Mundial (en $)</v>
      </c>
      <c r="C32" s="332">
        <v>359934.94</v>
      </c>
      <c r="D32" s="332">
        <v>1301060.3700000001</v>
      </c>
      <c r="E32" s="332">
        <v>1114068.33</v>
      </c>
      <c r="F32" s="332">
        <v>717925.66</v>
      </c>
      <c r="G32" s="332"/>
      <c r="H32" s="332"/>
      <c r="I32" s="331"/>
      <c r="J32" s="331"/>
      <c r="K32" s="331"/>
      <c r="L32" s="331"/>
      <c r="M32" s="331"/>
      <c r="N32" s="331"/>
      <c r="O32" s="698"/>
      <c r="P32" s="187"/>
      <c r="Q32" s="188"/>
      <c r="R32" s="189">
        <f>+F33</f>
        <v>3492989</v>
      </c>
      <c r="S32" s="187"/>
    </row>
    <row r="33" spans="1:35">
      <c r="A33" s="3"/>
      <c r="B33" s="495" t="s">
        <v>37</v>
      </c>
      <c r="C33" s="333">
        <f>+C31</f>
        <v>359935</v>
      </c>
      <c r="D33" s="333">
        <f>IF(AND(D31=0,D32=0),0,+C33+D31)</f>
        <v>1660995</v>
      </c>
      <c r="E33" s="333">
        <f t="shared" ref="E33:N33" si="0">IF(AND(E31=0,E32=0),0,+D33+E31)</f>
        <v>2775063</v>
      </c>
      <c r="F33" s="333">
        <f t="shared" si="0"/>
        <v>3492989</v>
      </c>
      <c r="G33" s="333">
        <f t="shared" si="0"/>
        <v>3963654</v>
      </c>
      <c r="H33" s="333">
        <f t="shared" si="0"/>
        <v>4964601</v>
      </c>
      <c r="I33" s="333">
        <f t="shared" si="0"/>
        <v>5331224</v>
      </c>
      <c r="J33" s="333">
        <f t="shared" si="0"/>
        <v>5649211</v>
      </c>
      <c r="K33" s="333">
        <f t="shared" si="0"/>
        <v>5770382</v>
      </c>
      <c r="L33" s="333">
        <f t="shared" si="0"/>
        <v>5895874</v>
      </c>
      <c r="M33" s="333">
        <f t="shared" si="0"/>
        <v>6029251</v>
      </c>
      <c r="N33" s="333">
        <f t="shared" si="0"/>
        <v>6264584</v>
      </c>
      <c r="O33" s="698"/>
      <c r="P33" s="313"/>
      <c r="Q33" s="188"/>
      <c r="R33" s="189">
        <f>+G33</f>
        <v>3963654</v>
      </c>
      <c r="S33" s="187"/>
    </row>
    <row r="34" spans="1:35" ht="15.75" thickBot="1">
      <c r="A34" s="3"/>
      <c r="B34" s="496" t="s">
        <v>197</v>
      </c>
      <c r="C34" s="334">
        <f>+C32</f>
        <v>359934.94</v>
      </c>
      <c r="D34" s="334">
        <f>IF(AND(D31=0,D32=0),0,+C34+D32)</f>
        <v>1660995.31</v>
      </c>
      <c r="E34" s="334">
        <f t="shared" ref="E34:N34" si="1">IF(AND(E31=0,E32=0),0,+D34+E32)</f>
        <v>2775063.64</v>
      </c>
      <c r="F34" s="334">
        <f t="shared" si="1"/>
        <v>3492989.3000000003</v>
      </c>
      <c r="G34" s="334"/>
      <c r="H34" s="334">
        <f t="shared" si="1"/>
        <v>0</v>
      </c>
      <c r="I34" s="334">
        <f t="shared" si="1"/>
        <v>0</v>
      </c>
      <c r="J34" s="334">
        <f t="shared" si="1"/>
        <v>0</v>
      </c>
      <c r="K34" s="334">
        <f t="shared" si="1"/>
        <v>0</v>
      </c>
      <c r="L34" s="334">
        <f t="shared" si="1"/>
        <v>0</v>
      </c>
      <c r="M34" s="334">
        <f t="shared" si="1"/>
        <v>0</v>
      </c>
      <c r="N34" s="334">
        <f t="shared" si="1"/>
        <v>0</v>
      </c>
      <c r="O34" s="699"/>
      <c r="P34" s="313"/>
      <c r="Q34" s="188"/>
      <c r="R34" s="189">
        <f>+H33</f>
        <v>4964601</v>
      </c>
      <c r="S34" s="187"/>
    </row>
    <row r="35" spans="1:35">
      <c r="A35" s="3"/>
      <c r="B35" s="3"/>
      <c r="C35" s="294">
        <f>+IF(AND(C30=$C$16,C33&lt;&gt;0),C34/C33,0)</f>
        <v>0</v>
      </c>
      <c r="D35" s="294">
        <f t="shared" ref="D35:N35" si="2">+IF(AND(D30=$C$16,D33&lt;&gt;0),D34/D33,0)</f>
        <v>0</v>
      </c>
      <c r="E35" s="294">
        <f t="shared" si="2"/>
        <v>0</v>
      </c>
      <c r="F35" s="294">
        <f t="shared" si="2"/>
        <v>0</v>
      </c>
      <c r="G35" s="294">
        <f t="shared" si="2"/>
        <v>0</v>
      </c>
      <c r="H35" s="294">
        <f t="shared" si="2"/>
        <v>0</v>
      </c>
      <c r="I35" s="294">
        <f t="shared" si="2"/>
        <v>0</v>
      </c>
      <c r="J35" s="294">
        <f t="shared" si="2"/>
        <v>0</v>
      </c>
      <c r="K35" s="294">
        <f t="shared" si="2"/>
        <v>0</v>
      </c>
      <c r="L35" s="294">
        <f t="shared" si="2"/>
        <v>0</v>
      </c>
      <c r="M35" s="294">
        <f t="shared" si="2"/>
        <v>0</v>
      </c>
      <c r="N35" s="294">
        <f t="shared" si="2"/>
        <v>0</v>
      </c>
      <c r="O35" s="264"/>
      <c r="P35" s="190"/>
      <c r="Q35" s="191"/>
      <c r="R35" s="189">
        <f>+I33</f>
        <v>5331224</v>
      </c>
      <c r="S35" s="187"/>
    </row>
    <row r="36" spans="1:35" ht="18.75">
      <c r="A36" s="3"/>
      <c r="B36" s="86" t="s">
        <v>7</v>
      </c>
      <c r="C36" s="3"/>
      <c r="D36" s="3"/>
      <c r="E36" s="303"/>
      <c r="F36" s="3"/>
      <c r="G36" s="238"/>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86" t="s">
        <v>38</v>
      </c>
      <c r="C38" s="346" t="str">
        <f>CONCATENATE("Presupuesto acumulado (en ",'Introducción de datos'!$D$26,")")</f>
        <v>Presupuesto acumulado (en $)</v>
      </c>
      <c r="D38" s="347" t="str">
        <f>CONCATENATE("Gastos acumulados (en ",'Introducción de datos'!$D$26,")")</f>
        <v>Gastos acumulados (en $)</v>
      </c>
      <c r="E38" s="253"/>
      <c r="F38" s="267"/>
      <c r="G38" s="3"/>
      <c r="H38" s="3"/>
      <c r="I38" s="3"/>
      <c r="J38" s="94"/>
      <c r="K38" s="42"/>
      <c r="N38"/>
      <c r="O38"/>
      <c r="AE38" s="20"/>
      <c r="AF38" s="36"/>
    </row>
    <row r="39" spans="1:35" ht="14.25" customHeight="1">
      <c r="A39" s="3"/>
      <c r="B39" s="387" t="s">
        <v>327</v>
      </c>
      <c r="C39" s="344">
        <v>216917.5333859337</v>
      </c>
      <c r="D39" s="348">
        <v>55689.079999999994</v>
      </c>
      <c r="E39" s="265"/>
      <c r="F39" s="315"/>
      <c r="G39" s="316"/>
      <c r="H39" s="3"/>
      <c r="I39" s="3"/>
      <c r="J39" s="95"/>
      <c r="K39" s="43"/>
      <c r="N39"/>
      <c r="O39"/>
      <c r="AE39" s="20"/>
      <c r="AF39" s="36"/>
    </row>
    <row r="40" spans="1:35" ht="14.25" customHeight="1">
      <c r="A40" s="3"/>
      <c r="B40" s="387" t="s">
        <v>328</v>
      </c>
      <c r="C40" s="344">
        <v>214798.30338593366</v>
      </c>
      <c r="D40" s="348">
        <v>53877.15</v>
      </c>
      <c r="E40" s="15"/>
      <c r="F40" s="315"/>
      <c r="G40" s="316"/>
      <c r="H40" s="3"/>
      <c r="I40" s="3"/>
      <c r="J40" s="3"/>
      <c r="K40" s="43"/>
      <c r="N40"/>
      <c r="O40"/>
      <c r="AE40" s="20"/>
      <c r="AF40" s="36"/>
    </row>
    <row r="41" spans="1:35">
      <c r="A41" s="3"/>
      <c r="B41" s="388" t="s">
        <v>329</v>
      </c>
      <c r="C41" s="345">
        <v>1261757</v>
      </c>
      <c r="D41" s="348">
        <v>1507201.0100000002</v>
      </c>
      <c r="E41" s="15"/>
      <c r="F41" s="317"/>
      <c r="G41" s="3"/>
      <c r="H41" s="3"/>
      <c r="I41" s="3"/>
      <c r="J41" s="3"/>
      <c r="K41" s="43"/>
      <c r="N41"/>
      <c r="O41"/>
      <c r="AE41" s="20"/>
      <c r="AF41" s="36"/>
    </row>
    <row r="42" spans="1:35" ht="15" customHeight="1">
      <c r="A42" s="3"/>
      <c r="B42" s="387" t="s">
        <v>330</v>
      </c>
      <c r="C42" s="344">
        <v>611061.77380684018</v>
      </c>
      <c r="D42" s="348">
        <v>122054.09</v>
      </c>
      <c r="E42" s="15"/>
      <c r="F42" s="314"/>
      <c r="G42" s="3"/>
      <c r="H42" s="3"/>
      <c r="I42" s="3"/>
      <c r="J42" s="3"/>
      <c r="K42" s="20"/>
      <c r="N42"/>
      <c r="O42"/>
      <c r="AE42" s="20"/>
      <c r="AF42" s="36"/>
    </row>
    <row r="43" spans="1:35">
      <c r="A43" s="3"/>
      <c r="B43" s="387" t="s">
        <v>331</v>
      </c>
      <c r="C43" s="345">
        <v>412493</v>
      </c>
      <c r="D43" s="348">
        <f>254823.41+139590.69+455274.54</f>
        <v>849688.6399999999</v>
      </c>
      <c r="E43" s="15"/>
      <c r="F43" s="266"/>
      <c r="G43" s="3"/>
      <c r="H43" s="3"/>
      <c r="I43" s="3"/>
      <c r="J43" s="3"/>
      <c r="K43" s="20"/>
      <c r="N43"/>
      <c r="O43"/>
      <c r="AE43" s="20"/>
      <c r="AF43" s="36"/>
    </row>
    <row r="44" spans="1:35">
      <c r="A44" s="3"/>
      <c r="B44" s="387" t="s">
        <v>332</v>
      </c>
      <c r="C44" s="345">
        <v>756847.98</v>
      </c>
      <c r="D44" s="348">
        <v>139590.69</v>
      </c>
      <c r="E44" s="15"/>
      <c r="F44" s="365"/>
      <c r="G44" s="3"/>
      <c r="H44" s="3"/>
      <c r="I44" s="3"/>
      <c r="J44" s="3"/>
      <c r="K44" s="20"/>
      <c r="N44"/>
      <c r="O44"/>
      <c r="AE44" s="20"/>
      <c r="AF44" s="36"/>
    </row>
    <row r="45" spans="1:35">
      <c r="A45" s="3"/>
      <c r="B45" s="349" t="s">
        <v>333</v>
      </c>
      <c r="C45" s="345">
        <v>489778</v>
      </c>
      <c r="D45" s="348">
        <v>455274.54</v>
      </c>
      <c r="E45" s="15"/>
      <c r="F45" s="266"/>
      <c r="G45" s="15"/>
      <c r="H45" s="15"/>
      <c r="I45" s="15"/>
      <c r="J45" s="15"/>
      <c r="K45" s="20"/>
      <c r="N45"/>
      <c r="O45"/>
      <c r="AE45" s="36"/>
      <c r="AF45" s="36"/>
    </row>
    <row r="46" spans="1:35" ht="15.75" thickBot="1">
      <c r="A46" s="3"/>
      <c r="B46" s="350"/>
      <c r="C46" s="344"/>
      <c r="D46" s="348"/>
      <c r="E46" s="15"/>
      <c r="F46" s="15"/>
      <c r="G46" s="15"/>
      <c r="H46" s="15"/>
      <c r="I46" s="15"/>
      <c r="J46" s="15"/>
      <c r="K46" s="20"/>
      <c r="N46"/>
      <c r="O46"/>
      <c r="AE46" s="36"/>
      <c r="AF46" s="36"/>
    </row>
    <row r="47" spans="1:35" ht="15.75" thickBot="1">
      <c r="A47" s="3"/>
      <c r="B47" s="389" t="s">
        <v>135</v>
      </c>
      <c r="C47" s="351">
        <f>SUM(C39:C43)</f>
        <v>2717027.6105787074</v>
      </c>
      <c r="D47" s="352">
        <f>SUM(D39:D43)</f>
        <v>2588509.9700000002</v>
      </c>
      <c r="E47" s="264"/>
      <c r="F47" s="700" t="str">
        <f ca="1">+IF((ROUND(C47,0)=ROUND(OFFSET(B33,0,RIGHT('Introducción de datos'!$C$16,LEN('Introducción de datos'!$C$16)-1),1,1),0)),"OK: Datos corresponden","Atención: Datos no corresponden")</f>
        <v>Atención: Datos no corresponden</v>
      </c>
      <c r="G47" s="701"/>
      <c r="H47" s="701"/>
      <c r="I47" s="702"/>
      <c r="J47" s="182"/>
      <c r="K47" s="182"/>
      <c r="L47" s="182"/>
      <c r="M47" s="190"/>
      <c r="N47" s="191"/>
      <c r="O47" s="189"/>
      <c r="P47" s="187"/>
      <c r="AE47" s="36"/>
      <c r="AF47" s="36"/>
    </row>
    <row r="48" spans="1:35">
      <c r="A48" s="3"/>
      <c r="B48" s="3"/>
      <c r="C48" s="182"/>
      <c r="D48" s="182"/>
      <c r="E48" s="250"/>
      <c r="F48" s="182"/>
      <c r="G48" s="182"/>
      <c r="H48" s="182"/>
      <c r="I48" s="182"/>
      <c r="J48" s="182"/>
      <c r="K48" s="182"/>
      <c r="L48" s="182"/>
      <c r="M48" s="182"/>
      <c r="N48" s="182"/>
      <c r="O48" s="182"/>
      <c r="P48" s="190"/>
      <c r="Q48" s="191"/>
      <c r="R48" s="189"/>
      <c r="S48" s="187"/>
    </row>
    <row r="49" spans="1:35" ht="18.75">
      <c r="A49" s="3"/>
      <c r="B49" s="86" t="s">
        <v>39</v>
      </c>
      <c r="C49" s="3"/>
      <c r="D49" s="3"/>
      <c r="E49" s="3"/>
      <c r="F49" s="3"/>
      <c r="G49" s="3"/>
      <c r="H49" s="3"/>
      <c r="I49" s="3"/>
      <c r="J49" s="3"/>
      <c r="K49" s="3"/>
      <c r="L49" s="3"/>
      <c r="M49" s="3"/>
      <c r="P49" s="187"/>
      <c r="Q49" s="188"/>
      <c r="R49" s="189">
        <f>+J33</f>
        <v>5649211</v>
      </c>
      <c r="S49" s="187"/>
    </row>
    <row r="50" spans="1:35" ht="15.75" thickBot="1">
      <c r="A50" s="3"/>
      <c r="B50" s="3"/>
      <c r="C50" s="3"/>
      <c r="D50" s="3"/>
      <c r="E50" s="3"/>
      <c r="F50" s="3"/>
      <c r="G50" s="3"/>
      <c r="H50" s="3"/>
      <c r="I50" s="3"/>
      <c r="J50" s="3"/>
      <c r="K50" s="3"/>
      <c r="L50" s="3"/>
      <c r="M50" s="3"/>
      <c r="P50" s="187"/>
      <c r="Q50" s="188"/>
      <c r="R50" s="189">
        <f>+K33</f>
        <v>5770382</v>
      </c>
      <c r="S50" s="187"/>
    </row>
    <row r="51" spans="1:35" ht="35.25" customHeight="1">
      <c r="A51" s="3"/>
      <c r="B51" s="268"/>
      <c r="C51" s="390" t="s">
        <v>8</v>
      </c>
      <c r="D51" s="390" t="s">
        <v>40</v>
      </c>
      <c r="E51" s="364" t="str">
        <f>CONCATENATE("Total gastado y desembolso (en ",D26,")")</f>
        <v>Total gastado y desembolso (en $)</v>
      </c>
      <c r="F51" s="3"/>
      <c r="G51" s="271"/>
      <c r="H51" s="267"/>
      <c r="I51" s="256"/>
      <c r="J51" s="256"/>
      <c r="K51" s="256"/>
      <c r="L51" s="256"/>
      <c r="M51" s="22"/>
      <c r="N51" s="22"/>
      <c r="O51" s="187"/>
      <c r="P51" s="188"/>
      <c r="Q51" s="189">
        <f>+M33</f>
        <v>6029251</v>
      </c>
      <c r="R51" s="187"/>
      <c r="AH51" s="20"/>
    </row>
    <row r="52" spans="1:35">
      <c r="A52" s="3"/>
      <c r="B52" s="391" t="s">
        <v>41</v>
      </c>
      <c r="C52" s="335">
        <f>+G34</f>
        <v>0</v>
      </c>
      <c r="D52" s="336">
        <v>3492989.3000000003</v>
      </c>
      <c r="E52" s="337">
        <f>+D52+C52</f>
        <v>3492989.3000000003</v>
      </c>
      <c r="F52" s="3"/>
      <c r="G52" s="90"/>
      <c r="H52" s="269"/>
      <c r="I52" s="89"/>
      <c r="J52" s="184"/>
      <c r="K52" s="185"/>
      <c r="L52" s="91"/>
      <c r="M52" s="37"/>
      <c r="N52" s="37"/>
      <c r="O52" s="187"/>
      <c r="P52" s="187"/>
      <c r="Q52" s="187"/>
      <c r="R52" s="187"/>
      <c r="AH52" s="20"/>
    </row>
    <row r="53" spans="1:35">
      <c r="A53" s="3"/>
      <c r="B53" s="391" t="s">
        <v>305</v>
      </c>
      <c r="C53" s="335">
        <v>0</v>
      </c>
      <c r="D53" s="335">
        <v>2588509.9700000002</v>
      </c>
      <c r="E53" s="337">
        <f>+D53+C53</f>
        <v>2588509.9700000002</v>
      </c>
      <c r="F53" s="3"/>
      <c r="G53" s="232"/>
      <c r="H53" s="269"/>
      <c r="I53" s="89"/>
      <c r="J53" s="184"/>
      <c r="K53" s="184"/>
      <c r="L53" s="91"/>
      <c r="M53" s="38"/>
      <c r="N53" s="38"/>
      <c r="O53" s="187"/>
      <c r="P53" s="187"/>
      <c r="Q53" s="187"/>
      <c r="R53" s="187"/>
      <c r="AH53" s="20"/>
    </row>
    <row r="54" spans="1:35">
      <c r="A54" s="3"/>
      <c r="B54" s="391" t="s">
        <v>42</v>
      </c>
      <c r="C54" s="335">
        <v>0</v>
      </c>
      <c r="D54" s="335"/>
      <c r="E54" s="337">
        <f>+D54+C54</f>
        <v>0</v>
      </c>
      <c r="F54" s="3"/>
      <c r="G54" s="90"/>
      <c r="H54" s="269"/>
      <c r="I54" s="89"/>
      <c r="J54" s="184"/>
      <c r="K54" s="185"/>
      <c r="L54" s="91"/>
      <c r="M54" s="37"/>
      <c r="N54" s="37"/>
      <c r="O54"/>
      <c r="AH54" s="20"/>
    </row>
    <row r="55" spans="1:35" ht="15.75" thickBot="1">
      <c r="A55" s="3"/>
      <c r="B55" s="392" t="s">
        <v>43</v>
      </c>
      <c r="C55" s="338">
        <v>0</v>
      </c>
      <c r="D55" s="338"/>
      <c r="E55" s="339">
        <f>+D55+C55</f>
        <v>0</v>
      </c>
      <c r="F55" s="3"/>
      <c r="G55" s="233"/>
      <c r="H55" s="270"/>
      <c r="I55" s="92"/>
      <c r="J55" s="92"/>
      <c r="K55" s="92"/>
      <c r="L55" s="91"/>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55"/>
      <c r="E57" s="3"/>
      <c r="F57" s="3"/>
      <c r="G57" s="3"/>
      <c r="H57" s="3"/>
      <c r="I57" s="3"/>
      <c r="J57" s="3"/>
      <c r="K57" s="3"/>
      <c r="L57" s="3"/>
      <c r="M57" s="3"/>
    </row>
    <row r="58" spans="1:35" ht="18.75">
      <c r="A58" s="3"/>
      <c r="B58" s="86" t="s">
        <v>44</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23" t="s">
        <v>291</v>
      </c>
      <c r="C60" s="624"/>
      <c r="D60" s="625"/>
      <c r="E60" s="3"/>
      <c r="F60" s="3"/>
      <c r="G60" s="3"/>
      <c r="H60" s="3"/>
      <c r="I60" s="3"/>
      <c r="J60" s="3"/>
      <c r="K60" s="3"/>
      <c r="L60" s="3"/>
      <c r="M60" s="36"/>
      <c r="O60"/>
    </row>
    <row r="61" spans="1:35">
      <c r="A61" s="3"/>
      <c r="B61" s="96"/>
      <c r="C61" s="393" t="s">
        <v>45</v>
      </c>
      <c r="D61" s="394" t="s">
        <v>46</v>
      </c>
      <c r="E61" s="3"/>
      <c r="F61" s="3"/>
      <c r="G61" s="3"/>
      <c r="H61" s="3"/>
      <c r="I61" s="3"/>
      <c r="J61" s="3"/>
      <c r="K61" s="3"/>
      <c r="L61" s="3"/>
      <c r="M61" s="36"/>
      <c r="O61"/>
    </row>
    <row r="62" spans="1:35">
      <c r="A62" s="3"/>
      <c r="B62" s="395" t="s">
        <v>272</v>
      </c>
      <c r="C62" s="318"/>
      <c r="D62" s="319"/>
      <c r="E62" s="3"/>
      <c r="F62" s="3"/>
      <c r="G62" s="3"/>
      <c r="H62" s="3"/>
      <c r="I62" s="3"/>
      <c r="J62" s="3"/>
      <c r="K62" s="3"/>
      <c r="L62" s="3"/>
      <c r="M62" s="36"/>
      <c r="O62"/>
    </row>
    <row r="63" spans="1:35">
      <c r="A63" s="3"/>
      <c r="B63" s="396" t="s">
        <v>9</v>
      </c>
      <c r="C63" s="318">
        <v>1</v>
      </c>
      <c r="D63" s="319">
        <v>1</v>
      </c>
      <c r="E63" s="3"/>
      <c r="F63" s="3"/>
      <c r="G63" s="3"/>
      <c r="H63" s="269"/>
      <c r="I63" s="269"/>
      <c r="J63" s="3"/>
      <c r="K63" s="3"/>
      <c r="L63" s="3"/>
      <c r="M63" s="36"/>
      <c r="O63"/>
    </row>
    <row r="64" spans="1:35" ht="15.75" thickBot="1">
      <c r="A64" s="3"/>
      <c r="B64" s="397" t="s">
        <v>10</v>
      </c>
      <c r="C64" s="320" t="s">
        <v>334</v>
      </c>
      <c r="D64" s="321" t="s">
        <v>334</v>
      </c>
      <c r="E64" s="3"/>
      <c r="F64" s="3"/>
      <c r="G64" s="3"/>
      <c r="H64" s="269"/>
      <c r="I64" s="269"/>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361"/>
      <c r="M66" s="3"/>
      <c r="AC66" s="19"/>
      <c r="AD66" s="19"/>
    </row>
    <row r="67" spans="1:30" ht="19.5" thickBot="1">
      <c r="A67" s="3"/>
      <c r="B67" s="97" t="s">
        <v>47</v>
      </c>
      <c r="C67" s="98"/>
      <c r="D67" s="98"/>
      <c r="E67" s="98"/>
      <c r="F67" s="98"/>
      <c r="G67" s="98"/>
      <c r="H67" s="398" t="s">
        <v>48</v>
      </c>
      <c r="I67" s="98"/>
      <c r="J67" s="99"/>
      <c r="K67" s="99"/>
      <c r="L67" s="362"/>
      <c r="M67" s="363"/>
      <c r="N67" s="81"/>
      <c r="O67" s="81"/>
      <c r="P67" s="81"/>
      <c r="S67" s="44"/>
      <c r="AC67" s="19"/>
      <c r="AD67" s="19"/>
    </row>
    <row r="68" spans="1:30" ht="18.75">
      <c r="A68" s="3"/>
      <c r="B68" s="101"/>
      <c r="C68" s="100"/>
      <c r="D68" s="100"/>
      <c r="E68" s="100"/>
      <c r="F68" s="100"/>
      <c r="G68" s="100"/>
      <c r="H68" s="100"/>
      <c r="I68" s="100"/>
      <c r="J68" s="100"/>
      <c r="K68" s="102"/>
      <c r="L68" s="102"/>
      <c r="M68" s="100"/>
      <c r="N68" s="81"/>
      <c r="O68" s="81"/>
      <c r="P68" s="81"/>
      <c r="S68" s="44"/>
      <c r="AC68" s="19"/>
      <c r="AD68" s="19"/>
    </row>
    <row r="69" spans="1:30" ht="18.75">
      <c r="A69" s="3"/>
      <c r="B69" s="101" t="s">
        <v>292</v>
      </c>
      <c r="C69" s="100"/>
      <c r="D69" s="100"/>
      <c r="E69" s="100"/>
      <c r="F69" s="100"/>
      <c r="G69" s="100"/>
      <c r="H69" s="100"/>
      <c r="I69" s="100"/>
      <c r="J69" s="100"/>
      <c r="K69" s="102"/>
      <c r="L69" s="102"/>
      <c r="M69" s="100"/>
      <c r="N69" s="81"/>
      <c r="O69" s="81"/>
      <c r="P69" s="81"/>
      <c r="S69" s="44"/>
      <c r="AC69" s="19"/>
      <c r="AD69" s="19"/>
    </row>
    <row r="70" spans="1:30" ht="15.75" thickBot="1">
      <c r="A70" s="3"/>
      <c r="B70" s="2"/>
      <c r="C70" s="103"/>
      <c r="D70" s="103"/>
      <c r="E70" s="103"/>
      <c r="F70" s="103"/>
      <c r="G70" s="103"/>
      <c r="H70" s="2"/>
      <c r="I70" s="103"/>
      <c r="J70" s="2"/>
      <c r="K70" s="2"/>
      <c r="L70" s="2"/>
      <c r="M70" s="2"/>
      <c r="N70" s="20"/>
      <c r="O70" s="19"/>
      <c r="P70" s="19"/>
      <c r="Q70" s="19"/>
      <c r="R70" s="19"/>
      <c r="S70" s="19"/>
      <c r="AD70" s="19"/>
    </row>
    <row r="71" spans="1:30" ht="45">
      <c r="A71" s="3"/>
      <c r="B71" s="670"/>
      <c r="C71" s="671"/>
      <c r="D71" s="399" t="s">
        <v>49</v>
      </c>
      <c r="E71" s="400" t="s">
        <v>50</v>
      </c>
      <c r="F71" s="400" t="s">
        <v>51</v>
      </c>
      <c r="G71" s="401" t="s">
        <v>135</v>
      </c>
      <c r="H71" s="277"/>
      <c r="I71" s="278"/>
      <c r="J71" s="15"/>
      <c r="K71" s="2"/>
      <c r="L71" s="2"/>
      <c r="M71" s="2"/>
      <c r="N71" s="20"/>
      <c r="O71" s="19"/>
      <c r="P71" s="19"/>
      <c r="Q71" s="19"/>
      <c r="R71" s="19"/>
      <c r="S71" s="19"/>
    </row>
    <row r="72" spans="1:30">
      <c r="A72" s="3"/>
      <c r="B72" s="679" t="s">
        <v>293</v>
      </c>
      <c r="C72" s="680"/>
      <c r="D72" s="235">
        <v>5</v>
      </c>
      <c r="E72" s="235">
        <v>4</v>
      </c>
      <c r="F72" s="235">
        <v>0</v>
      </c>
      <c r="G72" s="104">
        <f>SUM(D72:F72)</f>
        <v>9</v>
      </c>
      <c r="H72" s="266"/>
      <c r="I72" s="276"/>
      <c r="J72" s="276"/>
      <c r="K72" s="2"/>
      <c r="L72" s="2"/>
      <c r="M72" s="2"/>
      <c r="N72" s="20"/>
      <c r="O72" s="19"/>
      <c r="P72" s="19"/>
      <c r="Q72" s="19"/>
      <c r="R72" s="19"/>
      <c r="S72" s="19"/>
    </row>
    <row r="73" spans="1:30" ht="15.75" thickBot="1">
      <c r="A73" s="3"/>
      <c r="B73" s="633" t="s">
        <v>290</v>
      </c>
      <c r="C73" s="634"/>
      <c r="D73" s="236"/>
      <c r="E73" s="236"/>
      <c r="F73" s="236"/>
      <c r="G73" s="105">
        <f>SUM(D73:F73)</f>
        <v>0</v>
      </c>
      <c r="H73" s="266"/>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01" t="s">
        <v>287</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06"/>
      <c r="C78" s="402" t="s">
        <v>52</v>
      </c>
      <c r="D78" s="402" t="s">
        <v>53</v>
      </c>
      <c r="E78" s="403" t="s">
        <v>54</v>
      </c>
      <c r="F78" s="15"/>
      <c r="G78" s="15"/>
      <c r="H78" s="15"/>
      <c r="I78" s="278"/>
      <c r="J78" s="2"/>
      <c r="K78" s="2"/>
      <c r="L78" s="2"/>
      <c r="M78" s="2"/>
      <c r="N78" s="19"/>
      <c r="O78" s="19"/>
      <c r="P78" s="19"/>
      <c r="S78" s="19"/>
    </row>
    <row r="79" spans="1:30" ht="15.75" thickBot="1">
      <c r="A79" s="3"/>
      <c r="B79" s="485" t="s">
        <v>55</v>
      </c>
      <c r="C79" s="304">
        <v>9</v>
      </c>
      <c r="D79" s="304">
        <v>9</v>
      </c>
      <c r="E79" s="305">
        <f>+C79-D79</f>
        <v>0</v>
      </c>
      <c r="F79" s="243"/>
      <c r="G79" s="251"/>
      <c r="H79" s="15"/>
      <c r="I79" s="276"/>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01" t="s">
        <v>288</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06"/>
      <c r="C83" s="402" t="s">
        <v>56</v>
      </c>
      <c r="D83" s="402" t="s">
        <v>57</v>
      </c>
      <c r="E83" s="402" t="s">
        <v>58</v>
      </c>
      <c r="F83" s="402" t="s">
        <v>59</v>
      </c>
      <c r="G83" s="404" t="s">
        <v>60</v>
      </c>
      <c r="H83" s="252"/>
      <c r="I83" s="278"/>
      <c r="J83" s="2"/>
      <c r="K83" s="2"/>
      <c r="L83" s="2"/>
      <c r="M83" s="2"/>
      <c r="N83" s="19"/>
      <c r="O83" s="19"/>
      <c r="P83" s="19"/>
      <c r="S83" s="19"/>
    </row>
    <row r="84" spans="1:36" ht="15.75" thickBot="1">
      <c r="A84" s="3"/>
      <c r="B84" s="485" t="s">
        <v>61</v>
      </c>
      <c r="C84" s="304">
        <v>0</v>
      </c>
      <c r="D84" s="304">
        <v>0</v>
      </c>
      <c r="E84" s="304">
        <v>0</v>
      </c>
      <c r="F84" s="304">
        <v>0</v>
      </c>
      <c r="G84" s="306">
        <v>0</v>
      </c>
      <c r="H84" s="279"/>
      <c r="I84" s="266"/>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01" t="s">
        <v>294</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06"/>
      <c r="C88" s="405" t="s">
        <v>273</v>
      </c>
      <c r="D88" s="405" t="s">
        <v>274</v>
      </c>
      <c r="E88" s="406" t="s">
        <v>275</v>
      </c>
      <c r="F88" s="2"/>
      <c r="G88" s="2"/>
      <c r="H88" s="2"/>
      <c r="I88" s="2"/>
      <c r="J88" s="19"/>
      <c r="K88" s="19"/>
      <c r="L88" s="19"/>
      <c r="N88"/>
      <c r="O88" s="19"/>
      <c r="AG88" s="36"/>
      <c r="AJ88"/>
    </row>
    <row r="89" spans="1:36">
      <c r="A89" s="3"/>
      <c r="B89" s="500" t="s">
        <v>245</v>
      </c>
      <c r="C89" s="235">
        <v>0</v>
      </c>
      <c r="D89" s="237">
        <v>0</v>
      </c>
      <c r="E89" s="280">
        <f>C89-D89</f>
        <v>0</v>
      </c>
      <c r="F89" s="2"/>
      <c r="G89" s="2"/>
      <c r="H89" s="2"/>
      <c r="I89" s="2"/>
      <c r="J89" s="19"/>
      <c r="K89" s="19"/>
      <c r="L89" s="19"/>
      <c r="N89"/>
      <c r="O89" s="19"/>
      <c r="AG89" s="36"/>
      <c r="AJ89"/>
    </row>
    <row r="90" spans="1:36" ht="15.75" thickBot="1">
      <c r="A90" s="3"/>
      <c r="B90" s="485" t="s">
        <v>246</v>
      </c>
      <c r="C90" s="236">
        <v>0</v>
      </c>
      <c r="D90" s="281">
        <v>0</v>
      </c>
      <c r="E90" s="280">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01" t="s">
        <v>307</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197"/>
      <c r="C94" s="324" t="s">
        <v>150</v>
      </c>
      <c r="D94" s="324" t="s">
        <v>151</v>
      </c>
      <c r="E94" s="324" t="s">
        <v>152</v>
      </c>
      <c r="F94" s="324" t="s">
        <v>153</v>
      </c>
      <c r="G94" s="324" t="s">
        <v>156</v>
      </c>
      <c r="H94" s="324" t="s">
        <v>157</v>
      </c>
      <c r="I94" s="324" t="s">
        <v>158</v>
      </c>
      <c r="J94" s="324" t="s">
        <v>159</v>
      </c>
      <c r="K94" s="324" t="s">
        <v>160</v>
      </c>
      <c r="L94" s="324" t="s">
        <v>161</v>
      </c>
      <c r="M94" s="324" t="s">
        <v>162</v>
      </c>
      <c r="N94" s="325" t="s">
        <v>182</v>
      </c>
      <c r="O94" s="20"/>
      <c r="P94" s="20"/>
      <c r="S94" s="19"/>
    </row>
    <row r="95" spans="1:36" ht="15" customHeight="1">
      <c r="A95" s="3"/>
      <c r="B95" s="486" t="s">
        <v>62</v>
      </c>
      <c r="C95" s="307">
        <v>0</v>
      </c>
      <c r="D95" s="307">
        <v>0</v>
      </c>
      <c r="E95" s="307">
        <v>0</v>
      </c>
      <c r="F95" s="307">
        <v>717637</v>
      </c>
      <c r="G95" s="307">
        <v>278588</v>
      </c>
      <c r="H95" s="307">
        <v>0</v>
      </c>
      <c r="I95" s="307">
        <v>0</v>
      </c>
      <c r="J95" s="307">
        <v>524476</v>
      </c>
      <c r="K95" s="307">
        <v>0</v>
      </c>
      <c r="L95" s="307">
        <v>0</v>
      </c>
      <c r="M95" s="307">
        <v>0</v>
      </c>
      <c r="N95" s="307">
        <v>0</v>
      </c>
      <c r="O95" s="20"/>
      <c r="P95" s="20"/>
      <c r="S95" s="19"/>
    </row>
    <row r="96" spans="1:36" ht="15" customHeight="1">
      <c r="A96" s="3"/>
      <c r="B96" s="486" t="s">
        <v>63</v>
      </c>
      <c r="C96" s="307">
        <v>0</v>
      </c>
      <c r="D96" s="307"/>
      <c r="E96" s="307"/>
      <c r="F96" s="307"/>
      <c r="G96" s="307"/>
      <c r="H96" s="307"/>
      <c r="I96" s="307"/>
      <c r="J96" s="307"/>
      <c r="K96" s="307"/>
      <c r="L96" s="307"/>
      <c r="M96" s="307"/>
      <c r="N96" s="307"/>
      <c r="O96" s="20"/>
      <c r="P96" s="20"/>
      <c r="S96" s="19"/>
    </row>
    <row r="97" spans="1:19" ht="15" customHeight="1">
      <c r="A97" s="3"/>
      <c r="B97" s="486" t="s">
        <v>64</v>
      </c>
      <c r="C97" s="307">
        <v>0</v>
      </c>
      <c r="D97" s="307">
        <v>737325</v>
      </c>
      <c r="E97" s="307">
        <v>0</v>
      </c>
      <c r="F97" s="307">
        <v>247961</v>
      </c>
      <c r="G97" s="307"/>
      <c r="H97" s="307"/>
      <c r="I97" s="307"/>
      <c r="J97" s="307"/>
      <c r="K97" s="307"/>
      <c r="L97" s="307"/>
      <c r="M97" s="307"/>
      <c r="N97" s="307"/>
      <c r="O97" s="20"/>
      <c r="P97" s="20"/>
      <c r="S97" s="19"/>
    </row>
    <row r="98" spans="1:19" ht="15" customHeight="1">
      <c r="A98" s="3"/>
      <c r="B98" s="487" t="s">
        <v>280</v>
      </c>
      <c r="C98" s="308">
        <f>+C95</f>
        <v>0</v>
      </c>
      <c r="D98" s="308">
        <f t="shared" ref="D98:N98" si="3">+C98+D95</f>
        <v>0</v>
      </c>
      <c r="E98" s="308">
        <f>+D98+E95</f>
        <v>0</v>
      </c>
      <c r="F98" s="308">
        <f t="shared" si="3"/>
        <v>717637</v>
      </c>
      <c r="G98" s="308">
        <f t="shared" si="3"/>
        <v>996225</v>
      </c>
      <c r="H98" s="308">
        <f t="shared" si="3"/>
        <v>996225</v>
      </c>
      <c r="I98" s="308">
        <f t="shared" si="3"/>
        <v>996225</v>
      </c>
      <c r="J98" s="308">
        <f t="shared" si="3"/>
        <v>1520701</v>
      </c>
      <c r="K98" s="308">
        <f t="shared" si="3"/>
        <v>1520701</v>
      </c>
      <c r="L98" s="308">
        <f t="shared" si="3"/>
        <v>1520701</v>
      </c>
      <c r="M98" s="308">
        <f t="shared" si="3"/>
        <v>1520701</v>
      </c>
      <c r="N98" s="308">
        <f t="shared" si="3"/>
        <v>1520701</v>
      </c>
      <c r="O98" s="20"/>
      <c r="P98" s="20"/>
      <c r="S98" s="19"/>
    </row>
    <row r="99" spans="1:19" ht="15" customHeight="1">
      <c r="A99" s="3"/>
      <c r="B99" s="487" t="s">
        <v>65</v>
      </c>
      <c r="C99" s="308">
        <f>+C96</f>
        <v>0</v>
      </c>
      <c r="D99" s="308">
        <f t="shared" ref="D99:N99" si="4">+C99+D96</f>
        <v>0</v>
      </c>
      <c r="E99" s="308">
        <f>+D99+E96</f>
        <v>0</v>
      </c>
      <c r="F99" s="308">
        <f t="shared" si="4"/>
        <v>0</v>
      </c>
      <c r="G99" s="308">
        <f t="shared" si="4"/>
        <v>0</v>
      </c>
      <c r="H99" s="308">
        <f t="shared" si="4"/>
        <v>0</v>
      </c>
      <c r="I99" s="308">
        <f t="shared" si="4"/>
        <v>0</v>
      </c>
      <c r="J99" s="308">
        <f t="shared" si="4"/>
        <v>0</v>
      </c>
      <c r="K99" s="308">
        <f t="shared" si="4"/>
        <v>0</v>
      </c>
      <c r="L99" s="308">
        <f t="shared" si="4"/>
        <v>0</v>
      </c>
      <c r="M99" s="308">
        <f t="shared" si="4"/>
        <v>0</v>
      </c>
      <c r="N99" s="308">
        <f t="shared" si="4"/>
        <v>0</v>
      </c>
      <c r="O99" s="20"/>
      <c r="P99" s="20"/>
      <c r="S99" s="19"/>
    </row>
    <row r="100" spans="1:19">
      <c r="A100" s="3"/>
      <c r="B100" s="488" t="s">
        <v>66</v>
      </c>
      <c r="C100" s="309">
        <f>+C97</f>
        <v>0</v>
      </c>
      <c r="D100" s="308">
        <f t="shared" ref="D100:N100" si="5">+C100+D97</f>
        <v>737325</v>
      </c>
      <c r="E100" s="308">
        <f>+D100+E97</f>
        <v>737325</v>
      </c>
      <c r="F100" s="308">
        <f t="shared" si="5"/>
        <v>985286</v>
      </c>
      <c r="G100" s="308">
        <f t="shared" si="5"/>
        <v>985286</v>
      </c>
      <c r="H100" s="308">
        <f t="shared" si="5"/>
        <v>985286</v>
      </c>
      <c r="I100" s="308">
        <f t="shared" si="5"/>
        <v>985286</v>
      </c>
      <c r="J100" s="308">
        <f t="shared" si="5"/>
        <v>985286</v>
      </c>
      <c r="K100" s="308">
        <f t="shared" si="5"/>
        <v>985286</v>
      </c>
      <c r="L100" s="308">
        <f t="shared" si="5"/>
        <v>985286</v>
      </c>
      <c r="M100" s="308">
        <f t="shared" si="5"/>
        <v>985286</v>
      </c>
      <c r="N100" s="308">
        <f t="shared" si="5"/>
        <v>985286</v>
      </c>
      <c r="O100" s="20"/>
      <c r="P100" s="20"/>
      <c r="S100" s="19"/>
    </row>
    <row r="101" spans="1:19">
      <c r="A101" s="3"/>
      <c r="B101" s="3"/>
      <c r="C101" s="2"/>
      <c r="D101" s="2"/>
      <c r="E101" s="2"/>
      <c r="F101" s="2"/>
      <c r="G101" s="2"/>
      <c r="H101" s="2"/>
      <c r="I101" s="15"/>
      <c r="J101" s="107"/>
      <c r="K101" s="108"/>
      <c r="L101" s="15"/>
      <c r="M101" s="109"/>
      <c r="N101" s="20"/>
      <c r="O101" s="20"/>
      <c r="P101" s="20"/>
      <c r="S101" s="19"/>
    </row>
    <row r="102" spans="1:19">
      <c r="A102" s="3"/>
      <c r="B102" s="407" t="s">
        <v>295</v>
      </c>
      <c r="C102" s="2"/>
      <c r="D102" s="2"/>
      <c r="E102" s="2"/>
      <c r="F102" s="2"/>
      <c r="G102" s="2"/>
      <c r="H102" s="2"/>
      <c r="I102" s="15"/>
      <c r="J102" s="107"/>
      <c r="K102" s="108"/>
      <c r="L102" s="15"/>
      <c r="M102" s="109"/>
      <c r="N102" s="20"/>
      <c r="O102" s="20"/>
      <c r="P102" s="20"/>
      <c r="S102" s="19"/>
    </row>
    <row r="103" spans="1:19">
      <c r="A103" s="3"/>
      <c r="C103" s="2"/>
      <c r="D103" s="2"/>
      <c r="E103" s="2"/>
      <c r="F103" s="2"/>
      <c r="G103" s="2"/>
      <c r="H103" s="2"/>
      <c r="I103" s="15"/>
      <c r="J103" s="107"/>
      <c r="K103" s="109"/>
      <c r="L103" s="15"/>
      <c r="M103" s="109"/>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01" t="s">
        <v>289</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135" customHeight="1">
      <c r="A107" s="3"/>
      <c r="B107" s="489" t="s">
        <v>67</v>
      </c>
      <c r="C107" s="408" t="s">
        <v>68</v>
      </c>
      <c r="D107" s="409" t="s">
        <v>296</v>
      </c>
      <c r="E107" s="409" t="s">
        <v>69</v>
      </c>
      <c r="F107" s="410" t="s">
        <v>11</v>
      </c>
      <c r="G107" s="410" t="s">
        <v>70</v>
      </c>
      <c r="H107" s="409" t="s">
        <v>281</v>
      </c>
      <c r="I107" s="409" t="s">
        <v>12</v>
      </c>
      <c r="J107" s="409" t="s">
        <v>13</v>
      </c>
      <c r="K107" s="411" t="s">
        <v>71</v>
      </c>
      <c r="L107" s="2"/>
      <c r="M107" s="20"/>
      <c r="N107" s="20"/>
      <c r="O107" s="20"/>
      <c r="P107" s="19"/>
      <c r="R107" s="20"/>
    </row>
    <row r="108" spans="1:19">
      <c r="A108" s="3"/>
      <c r="B108" s="674" t="s">
        <v>72</v>
      </c>
      <c r="C108" s="412" t="s">
        <v>317</v>
      </c>
      <c r="D108" s="353"/>
      <c r="E108" s="354" t="str">
        <f>IF(ISBLANK(D108),"",D108*30)</f>
        <v/>
      </c>
      <c r="F108" s="310"/>
      <c r="G108" s="311" t="str">
        <f>IF(AND(E108&gt;0,F108&gt;0),(F108*E108),"")</f>
        <v/>
      </c>
      <c r="H108" s="310"/>
      <c r="I108" s="368" t="str">
        <f>IF(AND(G108&gt;0,H108&gt;0),H108/G108,"")</f>
        <v/>
      </c>
      <c r="J108" s="355"/>
      <c r="K108" s="369" t="str">
        <f>IF(AND(I108&gt;0,J108&gt;0),I108-J108,"")</f>
        <v/>
      </c>
      <c r="L108" s="2"/>
      <c r="M108" s="20"/>
      <c r="N108" s="20"/>
      <c r="O108" s="20"/>
      <c r="P108" s="19"/>
      <c r="R108" s="20"/>
    </row>
    <row r="109" spans="1:19">
      <c r="A109" s="3"/>
      <c r="B109" s="675"/>
      <c r="C109" s="412" t="s">
        <v>318</v>
      </c>
      <c r="D109" s="353"/>
      <c r="E109" s="354" t="str">
        <f>IF(ISBLANK(D109),"",D109*30)</f>
        <v/>
      </c>
      <c r="F109" s="310"/>
      <c r="G109" s="311" t="str">
        <f>IF(AND(E109&gt;0,F109&gt;0),(F109*E109),"")</f>
        <v/>
      </c>
      <c r="H109" s="310"/>
      <c r="I109" s="368" t="str">
        <f>IF(AND(G109&gt;0,H109&gt;0),H109/G109,"")</f>
        <v/>
      </c>
      <c r="J109" s="355"/>
      <c r="K109" s="369" t="str">
        <f>IF(AND(I109&gt;0,J109&gt;0),I109-J109,"")</f>
        <v/>
      </c>
      <c r="L109" s="2"/>
      <c r="M109" s="20"/>
      <c r="N109" s="20"/>
      <c r="O109" s="20"/>
      <c r="P109" s="19"/>
    </row>
    <row r="110" spans="1:19">
      <c r="A110" s="3"/>
      <c r="B110" s="675"/>
      <c r="C110" s="412" t="s">
        <v>319</v>
      </c>
      <c r="D110" s="353"/>
      <c r="E110" s="354" t="str">
        <f>IF(ISBLANK(D110),"",D110*30)</f>
        <v/>
      </c>
      <c r="F110" s="310"/>
      <c r="G110" s="311" t="str">
        <f>IF(AND(E110&gt;0,F110&gt;0),(F110*E110),"")</f>
        <v/>
      </c>
      <c r="H110" s="310"/>
      <c r="I110" s="368" t="str">
        <f>IF(AND(G110&gt;0,H110&gt;0),H110/G110,"")</f>
        <v/>
      </c>
      <c r="J110" s="355"/>
      <c r="K110" s="369" t="str">
        <f>IF(AND(I110&gt;0,J110&gt;0),I110-J110,"")</f>
        <v/>
      </c>
      <c r="L110" s="2"/>
      <c r="M110" s="20"/>
      <c r="N110" s="20"/>
      <c r="O110" s="20"/>
      <c r="P110" s="19"/>
      <c r="R110" s="20"/>
    </row>
    <row r="111" spans="1:19" ht="15.75" thickBot="1">
      <c r="A111" s="3"/>
      <c r="B111" s="676"/>
      <c r="C111" s="356"/>
      <c r="D111" s="357"/>
      <c r="E111" s="354" t="str">
        <f>IF(ISBLANK(D111),"",D111*30)</f>
        <v/>
      </c>
      <c r="F111" s="312"/>
      <c r="G111" s="311" t="str">
        <f>IF(AND(E111&gt;0,F111&gt;0),(F111*E111),"")</f>
        <v/>
      </c>
      <c r="H111" s="312"/>
      <c r="I111" s="368" t="str">
        <f>IF(AND(G111&gt;0,H111&gt;0),H111/G111,"")</f>
        <v/>
      </c>
      <c r="J111" s="358"/>
      <c r="K111" s="369" t="str">
        <f>IF(AND(I111&gt;0,J111&gt;0),I111-J111,"")</f>
        <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15.75" thickBot="1">
      <c r="A113" s="3"/>
      <c r="B113" s="3"/>
      <c r="C113" s="3"/>
      <c r="D113" s="3"/>
      <c r="E113" s="3"/>
      <c r="F113" s="3"/>
      <c r="G113" s="3"/>
      <c r="H113" s="3"/>
      <c r="I113" s="2"/>
      <c r="J113" s="100"/>
      <c r="K113" s="100"/>
      <c r="L113" s="3"/>
      <c r="M113" s="3"/>
    </row>
    <row r="114" spans="1:20" ht="19.5" thickBot="1">
      <c r="A114" s="3"/>
      <c r="B114" s="217" t="s">
        <v>73</v>
      </c>
      <c r="C114" s="110"/>
      <c r="D114" s="110"/>
      <c r="E114" s="111"/>
      <c r="F114" s="111"/>
      <c r="G114" s="111"/>
      <c r="H114" s="230"/>
      <c r="I114" s="218"/>
      <c r="J114" s="291"/>
      <c r="K114" s="413" t="s">
        <v>74</v>
      </c>
      <c r="L114" s="111"/>
      <c r="M114" s="292"/>
      <c r="N114" s="293"/>
      <c r="O114" s="293"/>
      <c r="P114" s="360"/>
      <c r="Q114" s="36"/>
    </row>
    <row r="115" spans="1:20" ht="15.75" thickBot="1">
      <c r="A115" s="3"/>
      <c r="B115" s="3"/>
      <c r="C115" s="3"/>
      <c r="D115" s="3"/>
      <c r="E115" s="3"/>
      <c r="F115" s="3"/>
      <c r="G115" s="3"/>
      <c r="H115" s="3"/>
      <c r="I115" s="3"/>
      <c r="J115" s="3"/>
      <c r="K115" s="3"/>
      <c r="L115" s="3"/>
      <c r="M115" s="3"/>
      <c r="N115"/>
      <c r="O115"/>
      <c r="P115" s="36"/>
      <c r="Q115" s="36"/>
    </row>
    <row r="116" spans="1:20" ht="25.5">
      <c r="A116" s="3"/>
      <c r="B116" s="637" t="s">
        <v>75</v>
      </c>
      <c r="C116" s="638"/>
      <c r="D116" s="639"/>
      <c r="E116" s="414" t="s">
        <v>76</v>
      </c>
      <c r="F116" s="446" t="s">
        <v>77</v>
      </c>
      <c r="G116" s="221"/>
      <c r="H116" s="340" t="s">
        <v>150</v>
      </c>
      <c r="I116" s="340" t="s">
        <v>151</v>
      </c>
      <c r="J116" s="340" t="s">
        <v>152</v>
      </c>
      <c r="K116" s="340" t="s">
        <v>153</v>
      </c>
      <c r="L116" s="340" t="s">
        <v>156</v>
      </c>
      <c r="M116" s="340" t="s">
        <v>157</v>
      </c>
      <c r="N116" s="340" t="s">
        <v>158</v>
      </c>
      <c r="O116" s="340" t="s">
        <v>159</v>
      </c>
      <c r="P116" s="340" t="s">
        <v>160</v>
      </c>
      <c r="Q116" s="340" t="s">
        <v>161</v>
      </c>
      <c r="R116" s="340" t="s">
        <v>162</v>
      </c>
      <c r="S116" s="341" t="s">
        <v>182</v>
      </c>
      <c r="T116" s="63"/>
    </row>
    <row r="117" spans="1:20">
      <c r="A117" s="3"/>
      <c r="B117" s="461"/>
      <c r="C117" s="462"/>
      <c r="D117" s="462"/>
      <c r="E117" s="463"/>
      <c r="F117" s="464"/>
      <c r="G117" s="465"/>
      <c r="H117" s="466"/>
      <c r="I117" s="466"/>
      <c r="J117" s="466"/>
      <c r="K117" s="466"/>
      <c r="L117" s="466"/>
      <c r="M117" s="466"/>
      <c r="N117" s="466"/>
      <c r="O117" s="466"/>
      <c r="P117" s="466"/>
      <c r="Q117" s="466"/>
      <c r="R117" s="466"/>
      <c r="S117" s="467"/>
      <c r="T117" s="63"/>
    </row>
    <row r="118" spans="1:20" ht="15" customHeight="1">
      <c r="A118" s="612" t="s">
        <v>78</v>
      </c>
      <c r="B118" s="617" t="s">
        <v>337</v>
      </c>
      <c r="C118" s="618"/>
      <c r="D118" s="619"/>
      <c r="E118" s="635" t="s">
        <v>342</v>
      </c>
      <c r="F118" s="626"/>
      <c r="G118" s="497" t="s">
        <v>79</v>
      </c>
      <c r="H118" s="112"/>
      <c r="I118" s="112">
        <v>65453</v>
      </c>
      <c r="J118" s="112"/>
      <c r="K118" s="112"/>
      <c r="L118" s="112"/>
      <c r="M118" s="112">
        <v>78544</v>
      </c>
      <c r="N118" s="112"/>
      <c r="O118" s="112"/>
      <c r="P118" s="112"/>
      <c r="Q118" s="112"/>
      <c r="R118" s="112"/>
      <c r="S118" s="113"/>
      <c r="T118" s="63"/>
    </row>
    <row r="119" spans="1:20">
      <c r="A119" s="613"/>
      <c r="B119" s="620"/>
      <c r="C119" s="621"/>
      <c r="D119" s="622"/>
      <c r="E119" s="636"/>
      <c r="F119" s="627"/>
      <c r="G119" s="497" t="s">
        <v>282</v>
      </c>
      <c r="H119" s="112"/>
      <c r="I119" s="112">
        <v>16821</v>
      </c>
      <c r="J119" s="112"/>
      <c r="K119" s="254">
        <v>9261</v>
      </c>
      <c r="L119" s="112">
        <v>2385</v>
      </c>
      <c r="M119" s="112"/>
      <c r="N119" s="112"/>
      <c r="O119" s="112"/>
      <c r="P119" s="112"/>
      <c r="Q119" s="112"/>
      <c r="R119" s="112"/>
      <c r="S119" s="113"/>
      <c r="T119" s="63"/>
    </row>
    <row r="120" spans="1:20" ht="15" customHeight="1">
      <c r="A120" s="613"/>
      <c r="B120" s="628" t="s">
        <v>338</v>
      </c>
      <c r="C120" s="629"/>
      <c r="D120" s="630"/>
      <c r="E120" s="677" t="s">
        <v>343</v>
      </c>
      <c r="F120" s="668"/>
      <c r="G120" s="498" t="s">
        <v>79</v>
      </c>
      <c r="H120" s="474"/>
      <c r="I120" s="474">
        <v>6907</v>
      </c>
      <c r="J120" s="474"/>
      <c r="K120" s="474"/>
      <c r="L120" s="474"/>
      <c r="M120" s="474">
        <v>8979</v>
      </c>
      <c r="N120" s="474"/>
      <c r="O120" s="474"/>
      <c r="P120" s="474"/>
      <c r="Q120" s="474"/>
      <c r="R120" s="474"/>
      <c r="S120" s="476"/>
      <c r="T120" s="63"/>
    </row>
    <row r="121" spans="1:20">
      <c r="A121" s="613"/>
      <c r="B121" s="631"/>
      <c r="C121" s="629"/>
      <c r="D121" s="630"/>
      <c r="E121" s="678"/>
      <c r="F121" s="669"/>
      <c r="G121" s="498" t="s">
        <v>282</v>
      </c>
      <c r="H121" s="474"/>
      <c r="I121" s="474">
        <v>1422</v>
      </c>
      <c r="J121" s="477"/>
      <c r="K121" s="478">
        <v>938</v>
      </c>
      <c r="L121" s="477">
        <v>390</v>
      </c>
      <c r="M121" s="477"/>
      <c r="N121" s="477"/>
      <c r="O121" s="477"/>
      <c r="P121" s="474"/>
      <c r="Q121" s="474"/>
      <c r="R121" s="474"/>
      <c r="S121" s="476"/>
      <c r="T121" s="63"/>
    </row>
    <row r="122" spans="1:20" ht="15" customHeight="1">
      <c r="A122" s="613"/>
      <c r="B122" s="632" t="s">
        <v>339</v>
      </c>
      <c r="C122" s="621"/>
      <c r="D122" s="622"/>
      <c r="E122" s="635" t="s">
        <v>344</v>
      </c>
      <c r="F122" s="626"/>
      <c r="G122" s="497" t="s">
        <v>79</v>
      </c>
      <c r="H122" s="112"/>
      <c r="I122" s="112">
        <v>57165</v>
      </c>
      <c r="J122" s="112"/>
      <c r="K122" s="112"/>
      <c r="L122" s="112"/>
      <c r="M122" s="112">
        <v>59452</v>
      </c>
      <c r="N122" s="112"/>
      <c r="O122" s="112"/>
      <c r="P122" s="112"/>
      <c r="Q122" s="112"/>
      <c r="R122" s="112"/>
      <c r="S122" s="113"/>
      <c r="T122" s="63"/>
    </row>
    <row r="123" spans="1:20">
      <c r="A123" s="613"/>
      <c r="B123" s="620"/>
      <c r="C123" s="621"/>
      <c r="D123" s="622"/>
      <c r="E123" s="636"/>
      <c r="F123" s="627"/>
      <c r="G123" s="497" t="s">
        <v>282</v>
      </c>
      <c r="H123" s="112"/>
      <c r="I123" s="112">
        <v>66292</v>
      </c>
      <c r="J123" s="112"/>
      <c r="K123" s="112">
        <v>68597</v>
      </c>
      <c r="L123" s="112">
        <v>69299</v>
      </c>
      <c r="M123" s="112"/>
      <c r="N123" s="112"/>
      <c r="O123" s="112"/>
      <c r="P123" s="112"/>
      <c r="Q123" s="112"/>
      <c r="R123" s="112"/>
      <c r="S123" s="113"/>
      <c r="T123" s="63"/>
    </row>
    <row r="124" spans="1:20" ht="15" customHeight="1">
      <c r="A124" s="3"/>
      <c r="B124" s="628" t="s">
        <v>340</v>
      </c>
      <c r="C124" s="629"/>
      <c r="D124" s="630"/>
      <c r="E124" s="677" t="s">
        <v>345</v>
      </c>
      <c r="F124" s="668"/>
      <c r="G124" s="498" t="s">
        <v>79</v>
      </c>
      <c r="H124" s="477"/>
      <c r="I124" s="474">
        <v>1029</v>
      </c>
      <c r="J124" s="474"/>
      <c r="K124" s="474"/>
      <c r="L124" s="474"/>
      <c r="M124" s="474">
        <v>1183</v>
      </c>
      <c r="N124" s="474"/>
      <c r="O124" s="474"/>
      <c r="P124" s="474"/>
      <c r="Q124" s="474"/>
      <c r="R124" s="474"/>
      <c r="S124" s="476"/>
      <c r="T124" s="63"/>
    </row>
    <row r="125" spans="1:20">
      <c r="A125" s="3"/>
      <c r="B125" s="631"/>
      <c r="C125" s="629"/>
      <c r="D125" s="630"/>
      <c r="E125" s="678"/>
      <c r="F125" s="669"/>
      <c r="G125" s="498" t="s">
        <v>282</v>
      </c>
      <c r="H125" s="477"/>
      <c r="I125" s="474">
        <v>1361</v>
      </c>
      <c r="J125" s="474"/>
      <c r="K125" s="475">
        <v>264</v>
      </c>
      <c r="L125" s="474">
        <v>88</v>
      </c>
      <c r="M125" s="474"/>
      <c r="N125" s="474"/>
      <c r="O125" s="474"/>
      <c r="P125" s="474"/>
      <c r="Q125" s="474"/>
      <c r="R125" s="474"/>
      <c r="S125" s="476"/>
      <c r="T125" s="63"/>
    </row>
    <row r="126" spans="1:20" ht="15" customHeight="1">
      <c r="A126" s="3"/>
      <c r="B126" s="662" t="s">
        <v>341</v>
      </c>
      <c r="C126" s="663"/>
      <c r="D126" s="664"/>
      <c r="E126" s="635" t="s">
        <v>335</v>
      </c>
      <c r="F126" s="626"/>
      <c r="G126" s="497" t="s">
        <v>79</v>
      </c>
      <c r="H126" s="452"/>
      <c r="I126" s="452">
        <v>4200</v>
      </c>
      <c r="J126" s="452"/>
      <c r="K126" s="452"/>
      <c r="L126" s="452"/>
      <c r="M126" s="452">
        <v>4700</v>
      </c>
      <c r="N126" s="452"/>
      <c r="O126" s="452"/>
      <c r="P126" s="452"/>
      <c r="Q126" s="452"/>
      <c r="R126" s="452"/>
      <c r="S126" s="454"/>
      <c r="T126" s="63"/>
    </row>
    <row r="127" spans="1:20">
      <c r="A127" s="3"/>
      <c r="B127" s="665"/>
      <c r="C127" s="663"/>
      <c r="D127" s="664"/>
      <c r="E127" s="636"/>
      <c r="F127" s="627"/>
      <c r="G127" s="497" t="s">
        <v>282</v>
      </c>
      <c r="H127" s="452"/>
      <c r="I127" s="452">
        <v>10063</v>
      </c>
      <c r="J127" s="452"/>
      <c r="K127" s="453">
        <v>8995</v>
      </c>
      <c r="L127" s="452">
        <v>3376</v>
      </c>
      <c r="M127" s="452"/>
      <c r="N127" s="452"/>
      <c r="O127" s="452"/>
      <c r="P127" s="452"/>
      <c r="Q127" s="452"/>
      <c r="R127" s="452"/>
      <c r="S127" s="454"/>
      <c r="T127" s="63"/>
    </row>
    <row r="128" spans="1:20" ht="15" customHeight="1">
      <c r="A128" s="3"/>
      <c r="B128" s="628" t="s">
        <v>346</v>
      </c>
      <c r="C128" s="629"/>
      <c r="D128" s="630"/>
      <c r="E128" s="677"/>
      <c r="F128" s="668"/>
      <c r="G128" s="498" t="s">
        <v>79</v>
      </c>
      <c r="H128" s="477"/>
      <c r="I128" s="478"/>
      <c r="J128" s="477"/>
      <c r="K128" s="478"/>
      <c r="L128" s="477"/>
      <c r="M128" s="477"/>
      <c r="N128" s="477"/>
      <c r="O128" s="477"/>
      <c r="P128" s="477"/>
      <c r="Q128" s="477"/>
      <c r="R128" s="477"/>
      <c r="S128" s="479"/>
      <c r="T128" s="63"/>
    </row>
    <row r="129" spans="1:21">
      <c r="A129" s="3"/>
      <c r="B129" s="631"/>
      <c r="C129" s="629"/>
      <c r="D129" s="630"/>
      <c r="E129" s="678"/>
      <c r="F129" s="669"/>
      <c r="G129" s="498" t="s">
        <v>282</v>
      </c>
      <c r="H129" s="477"/>
      <c r="I129" s="474"/>
      <c r="J129" s="474"/>
      <c r="K129" s="475">
        <v>2977</v>
      </c>
      <c r="L129" s="474">
        <v>1112</v>
      </c>
      <c r="M129" s="475"/>
      <c r="N129" s="474"/>
      <c r="O129" s="474"/>
      <c r="P129" s="477"/>
      <c r="Q129" s="477"/>
      <c r="R129" s="477"/>
      <c r="S129" s="479"/>
      <c r="T129" s="63"/>
    </row>
    <row r="130" spans="1:21">
      <c r="A130" s="3"/>
      <c r="B130" s="662" t="s">
        <v>349</v>
      </c>
      <c r="C130" s="663"/>
      <c r="D130" s="664"/>
      <c r="E130" s="635"/>
      <c r="F130" s="626"/>
      <c r="G130" s="497" t="s">
        <v>79</v>
      </c>
      <c r="H130" s="452"/>
      <c r="I130" s="452"/>
      <c r="J130" s="452"/>
      <c r="K130" s="453"/>
      <c r="L130" s="452"/>
      <c r="M130" s="452"/>
      <c r="N130" s="452"/>
      <c r="O130" s="452"/>
      <c r="P130" s="452"/>
      <c r="Q130" s="452"/>
      <c r="R130" s="452"/>
      <c r="S130" s="454"/>
      <c r="T130" s="63"/>
    </row>
    <row r="131" spans="1:21">
      <c r="A131" s="3"/>
      <c r="B131" s="665"/>
      <c r="C131" s="663"/>
      <c r="D131" s="664"/>
      <c r="E131" s="636"/>
      <c r="F131" s="627"/>
      <c r="G131" s="497" t="s">
        <v>282</v>
      </c>
      <c r="H131" s="452"/>
      <c r="I131" s="452"/>
      <c r="J131" s="452"/>
      <c r="K131" s="453"/>
      <c r="L131" s="452">
        <v>918</v>
      </c>
      <c r="M131" s="452"/>
      <c r="N131" s="452"/>
      <c r="O131" s="452"/>
      <c r="P131" s="452"/>
      <c r="Q131" s="452"/>
      <c r="R131" s="452"/>
      <c r="S131" s="454"/>
      <c r="T131" s="63"/>
    </row>
    <row r="132" spans="1:21" ht="14.25" customHeight="1">
      <c r="A132" s="3"/>
      <c r="B132" s="628" t="s">
        <v>350</v>
      </c>
      <c r="C132" s="629"/>
      <c r="D132" s="630"/>
      <c r="E132" s="678"/>
      <c r="F132" s="668"/>
      <c r="G132" s="498" t="s">
        <v>79</v>
      </c>
      <c r="H132" s="477"/>
      <c r="I132" s="477"/>
      <c r="J132" s="477"/>
      <c r="K132" s="477"/>
      <c r="L132" s="477"/>
      <c r="M132" s="477"/>
      <c r="N132" s="477"/>
      <c r="O132" s="477"/>
      <c r="P132" s="477"/>
      <c r="Q132" s="477"/>
      <c r="R132" s="477"/>
      <c r="S132" s="479"/>
      <c r="T132" s="63"/>
    </row>
    <row r="133" spans="1:21">
      <c r="A133" s="3"/>
      <c r="B133" s="631"/>
      <c r="C133" s="629"/>
      <c r="D133" s="630"/>
      <c r="E133" s="678"/>
      <c r="F133" s="669"/>
      <c r="G133" s="498" t="s">
        <v>282</v>
      </c>
      <c r="H133" s="477"/>
      <c r="I133" s="477"/>
      <c r="J133" s="477"/>
      <c r="K133" s="477"/>
      <c r="L133" s="477">
        <v>23</v>
      </c>
      <c r="M133" s="477"/>
      <c r="N133" s="477"/>
      <c r="O133" s="477"/>
      <c r="P133" s="477"/>
      <c r="Q133" s="477"/>
      <c r="R133" s="477"/>
      <c r="S133" s="479"/>
      <c r="T133" s="63"/>
    </row>
    <row r="134" spans="1:21" ht="14.25" customHeight="1">
      <c r="A134" s="3"/>
      <c r="B134" s="662" t="s">
        <v>347</v>
      </c>
      <c r="C134" s="663"/>
      <c r="D134" s="664"/>
      <c r="E134" s="636"/>
      <c r="F134" s="626"/>
      <c r="G134" s="497" t="s">
        <v>79</v>
      </c>
      <c r="H134" s="452"/>
      <c r="I134" s="452"/>
      <c r="J134" s="452"/>
      <c r="K134" s="452"/>
      <c r="L134" s="452"/>
      <c r="M134" s="452"/>
      <c r="N134" s="452"/>
      <c r="O134" s="452"/>
      <c r="P134" s="452"/>
      <c r="Q134" s="452"/>
      <c r="R134" s="452"/>
      <c r="S134" s="454"/>
      <c r="T134" s="63"/>
    </row>
    <row r="135" spans="1:21">
      <c r="A135" s="3"/>
      <c r="B135" s="665"/>
      <c r="C135" s="663"/>
      <c r="D135" s="664"/>
      <c r="E135" s="636"/>
      <c r="F135" s="694"/>
      <c r="G135" s="497" t="s">
        <v>282</v>
      </c>
      <c r="H135" s="452"/>
      <c r="I135" s="452"/>
      <c r="J135" s="452"/>
      <c r="K135" s="452">
        <v>2575</v>
      </c>
      <c r="L135" s="452">
        <v>92</v>
      </c>
      <c r="M135" s="452"/>
      <c r="N135" s="452"/>
      <c r="O135" s="452"/>
      <c r="P135" s="452"/>
      <c r="Q135" s="452"/>
      <c r="R135" s="452"/>
      <c r="S135" s="454"/>
      <c r="T135" s="63"/>
    </row>
    <row r="136" spans="1:21" ht="14.25" customHeight="1">
      <c r="A136" s="3"/>
      <c r="B136" s="628" t="s">
        <v>348</v>
      </c>
      <c r="C136" s="629"/>
      <c r="D136" s="630"/>
      <c r="E136" s="678"/>
      <c r="F136" s="668"/>
      <c r="G136" s="498" t="s">
        <v>79</v>
      </c>
      <c r="H136" s="477"/>
      <c r="I136" s="477"/>
      <c r="J136" s="477"/>
      <c r="K136" s="477"/>
      <c r="L136" s="477"/>
      <c r="M136" s="477"/>
      <c r="N136" s="477"/>
      <c r="O136" s="477"/>
      <c r="P136" s="477"/>
      <c r="Q136" s="477"/>
      <c r="R136" s="477"/>
      <c r="S136" s="479"/>
      <c r="T136" s="63"/>
    </row>
    <row r="137" spans="1:21" ht="15.75" thickBot="1">
      <c r="A137" s="3"/>
      <c r="B137" s="687"/>
      <c r="C137" s="688"/>
      <c r="D137" s="689"/>
      <c r="E137" s="695"/>
      <c r="F137" s="696"/>
      <c r="G137" s="499" t="s">
        <v>282</v>
      </c>
      <c r="H137" s="480"/>
      <c r="I137" s="480"/>
      <c r="J137" s="480"/>
      <c r="K137" s="480">
        <v>59</v>
      </c>
      <c r="L137" s="480">
        <v>4</v>
      </c>
      <c r="M137" s="480"/>
      <c r="N137" s="480"/>
      <c r="O137" s="480"/>
      <c r="P137" s="480"/>
      <c r="Q137" s="480"/>
      <c r="R137" s="480"/>
      <c r="S137" s="481"/>
      <c r="T137" s="63"/>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282"/>
      <c r="C141" s="3"/>
      <c r="D141" s="3"/>
      <c r="E141" s="3"/>
      <c r="F141" s="3"/>
      <c r="G141" s="2"/>
      <c r="H141" s="3"/>
      <c r="I141" s="3"/>
      <c r="J141" s="3"/>
      <c r="K141" s="3"/>
      <c r="L141" s="3"/>
      <c r="M141" s="3"/>
      <c r="N141" s="3"/>
      <c r="O141" s="3"/>
      <c r="R141" s="36"/>
      <c r="S141" s="36"/>
    </row>
    <row r="142" spans="1:21" ht="25.5">
      <c r="A142" s="3"/>
      <c r="B142" s="415" t="s">
        <v>80</v>
      </c>
      <c r="C142" s="3"/>
      <c r="D142" s="3"/>
      <c r="E142" s="416" t="s">
        <v>76</v>
      </c>
      <c r="F142" s="447" t="s">
        <v>77</v>
      </c>
      <c r="G142" s="221"/>
      <c r="H142" s="340" t="str">
        <f t="shared" ref="H142:S142" si="6">C30</f>
        <v>P1</v>
      </c>
      <c r="I142" s="340" t="str">
        <f t="shared" si="6"/>
        <v>P2</v>
      </c>
      <c r="J142" s="340" t="str">
        <f t="shared" si="6"/>
        <v>P3</v>
      </c>
      <c r="K142" s="340" t="str">
        <f t="shared" si="6"/>
        <v>P4</v>
      </c>
      <c r="L142" s="340" t="str">
        <f t="shared" si="6"/>
        <v>P5</v>
      </c>
      <c r="M142" s="340" t="str">
        <f t="shared" si="6"/>
        <v>P6</v>
      </c>
      <c r="N142" s="340" t="str">
        <f t="shared" si="6"/>
        <v>P7</v>
      </c>
      <c r="O142" s="340" t="str">
        <f t="shared" si="6"/>
        <v>P8</v>
      </c>
      <c r="P142" s="340" t="str">
        <f t="shared" si="6"/>
        <v>P9</v>
      </c>
      <c r="Q142" s="340" t="str">
        <f t="shared" si="6"/>
        <v>P10</v>
      </c>
      <c r="R142" s="340" t="str">
        <f t="shared" si="6"/>
        <v>P11</v>
      </c>
      <c r="S142" s="340" t="str">
        <f t="shared" si="6"/>
        <v>P12</v>
      </c>
      <c r="T142" s="36"/>
      <c r="U142" s="36"/>
    </row>
    <row r="143" spans="1:21">
      <c r="A143" s="3"/>
      <c r="B143" s="681" t="str">
        <f>IF(ISBLANK(B118),"",(B118))</f>
        <v>Porcentaje de hombres que tienen relaciones sexuales con hombres que se han sometido a pruebas de VIH durante el período de informe y conocen los resultados</v>
      </c>
      <c r="C143" s="682"/>
      <c r="D143" s="683"/>
      <c r="E143" s="692" t="str">
        <f>IF(ISBLANK(E118),"",(E118))</f>
        <v>KP-3a(M)</v>
      </c>
      <c r="F143" s="693" t="str">
        <f>IF(ISBLANK(F118),"",(F118))</f>
        <v/>
      </c>
      <c r="G143" s="455" t="s">
        <v>79</v>
      </c>
      <c r="H143" s="366">
        <f t="shared" ref="H143:S143" si="7">H118</f>
        <v>0</v>
      </c>
      <c r="I143" s="366">
        <f t="shared" si="7"/>
        <v>65453</v>
      </c>
      <c r="J143" s="366">
        <f t="shared" si="7"/>
        <v>0</v>
      </c>
      <c r="K143" s="366">
        <f>K118</f>
        <v>0</v>
      </c>
      <c r="L143" s="366">
        <f t="shared" si="7"/>
        <v>0</v>
      </c>
      <c r="M143" s="366">
        <f>M118</f>
        <v>78544</v>
      </c>
      <c r="N143" s="366">
        <f t="shared" si="7"/>
        <v>0</v>
      </c>
      <c r="O143" s="366">
        <f t="shared" si="7"/>
        <v>0</v>
      </c>
      <c r="P143" s="366">
        <f t="shared" si="7"/>
        <v>0</v>
      </c>
      <c r="Q143" s="366">
        <f t="shared" si="7"/>
        <v>0</v>
      </c>
      <c r="R143" s="366">
        <f t="shared" si="7"/>
        <v>0</v>
      </c>
      <c r="S143" s="366">
        <f t="shared" si="7"/>
        <v>0</v>
      </c>
      <c r="T143" s="36"/>
      <c r="U143" s="36"/>
    </row>
    <row r="144" spans="1:21" ht="15.75" thickBot="1">
      <c r="A144" s="3"/>
      <c r="B144" s="684"/>
      <c r="C144" s="685"/>
      <c r="D144" s="686"/>
      <c r="E144" s="692"/>
      <c r="F144" s="693"/>
      <c r="G144" s="456" t="s">
        <v>282</v>
      </c>
      <c r="H144" s="366">
        <f t="shared" ref="H144:K148" si="8">H119</f>
        <v>0</v>
      </c>
      <c r="I144" s="366">
        <f t="shared" si="8"/>
        <v>16821</v>
      </c>
      <c r="J144" s="366">
        <f t="shared" si="8"/>
        <v>0</v>
      </c>
      <c r="K144" s="366">
        <f t="shared" si="8"/>
        <v>9261</v>
      </c>
      <c r="L144" s="366">
        <f t="shared" ref="L144:S144" si="9">L119</f>
        <v>2385</v>
      </c>
      <c r="M144" s="366">
        <f t="shared" si="9"/>
        <v>0</v>
      </c>
      <c r="N144" s="366">
        <f t="shared" si="9"/>
        <v>0</v>
      </c>
      <c r="O144" s="366">
        <f t="shared" si="9"/>
        <v>0</v>
      </c>
      <c r="P144" s="366">
        <f t="shared" si="9"/>
        <v>0</v>
      </c>
      <c r="Q144" s="366">
        <f t="shared" si="9"/>
        <v>0</v>
      </c>
      <c r="R144" s="366">
        <f t="shared" si="9"/>
        <v>0</v>
      </c>
      <c r="S144" s="366">
        <f t="shared" si="9"/>
        <v>0</v>
      </c>
      <c r="T144" s="36"/>
      <c r="U144" s="36"/>
    </row>
    <row r="145" spans="1:21">
      <c r="A145" s="3"/>
      <c r="B145" s="656" t="str">
        <f>IF(ISBLANK(B120),"",(B120))</f>
        <v>Porcentaje de personas transgénero que se han sometido a pruebas de VIH durante el período de informe y conocen los resultados</v>
      </c>
      <c r="C145" s="657"/>
      <c r="D145" s="658"/>
      <c r="E145" s="690" t="str">
        <f>IF(ISBLANK(E120),"",(E120))</f>
        <v>KP-3b(M)</v>
      </c>
      <c r="F145" s="691" t="str">
        <f>IF(ISBLANK(F120),"",(F120))</f>
        <v/>
      </c>
      <c r="G145" s="482" t="s">
        <v>79</v>
      </c>
      <c r="H145" s="483">
        <f t="shared" si="8"/>
        <v>0</v>
      </c>
      <c r="I145" s="483">
        <f>I120</f>
        <v>6907</v>
      </c>
      <c r="J145" s="483">
        <f t="shared" si="8"/>
        <v>0</v>
      </c>
      <c r="K145" s="483">
        <f>K120</f>
        <v>0</v>
      </c>
      <c r="L145" s="483">
        <f t="shared" ref="L145:S145" si="10">L120</f>
        <v>0</v>
      </c>
      <c r="M145" s="483">
        <f t="shared" si="10"/>
        <v>8979</v>
      </c>
      <c r="N145" s="483">
        <f t="shared" si="10"/>
        <v>0</v>
      </c>
      <c r="O145" s="483">
        <f t="shared" si="10"/>
        <v>0</v>
      </c>
      <c r="P145" s="483">
        <f t="shared" si="10"/>
        <v>0</v>
      </c>
      <c r="Q145" s="483">
        <f t="shared" si="10"/>
        <v>0</v>
      </c>
      <c r="R145" s="483">
        <f t="shared" si="10"/>
        <v>0</v>
      </c>
      <c r="S145" s="483">
        <f t="shared" si="10"/>
        <v>0</v>
      </c>
      <c r="T145" s="36"/>
      <c r="U145" s="36"/>
    </row>
    <row r="146" spans="1:21" ht="15.75" thickBot="1">
      <c r="A146" s="3"/>
      <c r="B146" s="659"/>
      <c r="C146" s="660"/>
      <c r="D146" s="661"/>
      <c r="E146" s="690"/>
      <c r="F146" s="691"/>
      <c r="G146" s="482" t="s">
        <v>282</v>
      </c>
      <c r="H146" s="483">
        <f t="shared" si="8"/>
        <v>0</v>
      </c>
      <c r="I146" s="483">
        <f t="shared" si="8"/>
        <v>1422</v>
      </c>
      <c r="J146" s="483">
        <f t="shared" si="8"/>
        <v>0</v>
      </c>
      <c r="K146" s="483">
        <f t="shared" si="8"/>
        <v>938</v>
      </c>
      <c r="L146" s="483">
        <f>L121</f>
        <v>390</v>
      </c>
      <c r="M146" s="483">
        <f t="shared" ref="M146:S146" si="11">M121</f>
        <v>0</v>
      </c>
      <c r="N146" s="483">
        <f t="shared" si="11"/>
        <v>0</v>
      </c>
      <c r="O146" s="483">
        <f t="shared" si="11"/>
        <v>0</v>
      </c>
      <c r="P146" s="483">
        <f t="shared" si="11"/>
        <v>0</v>
      </c>
      <c r="Q146" s="483">
        <f t="shared" si="11"/>
        <v>0</v>
      </c>
      <c r="R146" s="483">
        <f t="shared" si="11"/>
        <v>0</v>
      </c>
      <c r="S146" s="483">
        <f t="shared" si="11"/>
        <v>0</v>
      </c>
      <c r="T146" s="36"/>
      <c r="U146" s="36"/>
    </row>
    <row r="147" spans="1:21">
      <c r="A147" s="3"/>
      <c r="B147" s="681" t="str">
        <f>IF(ISBLANK(B122),"",(B122))</f>
        <v>Porcentaje de personas que viven con el VIH  que actualmente reciben tratamiento antirretroviral</v>
      </c>
      <c r="C147" s="682"/>
      <c r="D147" s="683"/>
      <c r="E147" s="692" t="str">
        <f>IF(ISBLANK(E122),"",(E122))</f>
        <v>TCS-1(M)</v>
      </c>
      <c r="F147" s="693" t="str">
        <f>IF(ISBLANK(F122),"",(F122))</f>
        <v/>
      </c>
      <c r="G147" s="456" t="s">
        <v>79</v>
      </c>
      <c r="H147" s="366">
        <f t="shared" si="8"/>
        <v>0</v>
      </c>
      <c r="I147" s="366">
        <f t="shared" si="8"/>
        <v>57165</v>
      </c>
      <c r="J147" s="366">
        <f t="shared" si="8"/>
        <v>0</v>
      </c>
      <c r="K147" s="366">
        <f t="shared" si="8"/>
        <v>0</v>
      </c>
      <c r="L147" s="366">
        <f>L122</f>
        <v>0</v>
      </c>
      <c r="M147" s="366">
        <f t="shared" ref="M147:S147" si="12">M122</f>
        <v>59452</v>
      </c>
      <c r="N147" s="366">
        <f t="shared" si="12"/>
        <v>0</v>
      </c>
      <c r="O147" s="366">
        <f t="shared" si="12"/>
        <v>0</v>
      </c>
      <c r="P147" s="366">
        <f t="shared" si="12"/>
        <v>0</v>
      </c>
      <c r="Q147" s="366">
        <f t="shared" si="12"/>
        <v>0</v>
      </c>
      <c r="R147" s="366">
        <f t="shared" si="12"/>
        <v>0</v>
      </c>
      <c r="S147" s="366">
        <f t="shared" si="12"/>
        <v>0</v>
      </c>
      <c r="T147" s="36"/>
      <c r="U147" s="36"/>
    </row>
    <row r="148" spans="1:21" ht="15.75" thickBot="1">
      <c r="A148" s="3"/>
      <c r="B148" s="684"/>
      <c r="C148" s="685"/>
      <c r="D148" s="686"/>
      <c r="E148" s="692"/>
      <c r="F148" s="693"/>
      <c r="G148" s="457" t="s">
        <v>282</v>
      </c>
      <c r="H148" s="367">
        <f t="shared" si="8"/>
        <v>0</v>
      </c>
      <c r="I148" s="367">
        <f t="shared" si="8"/>
        <v>66292</v>
      </c>
      <c r="J148" s="367">
        <f t="shared" si="8"/>
        <v>0</v>
      </c>
      <c r="K148" s="367">
        <f t="shared" si="8"/>
        <v>68597</v>
      </c>
      <c r="L148" s="366">
        <f t="shared" ref="L148:S148" si="13">L123</f>
        <v>69299</v>
      </c>
      <c r="M148" s="366">
        <f t="shared" si="13"/>
        <v>0</v>
      </c>
      <c r="N148" s="366">
        <f t="shared" si="13"/>
        <v>0</v>
      </c>
      <c r="O148" s="366">
        <f t="shared" si="13"/>
        <v>0</v>
      </c>
      <c r="P148" s="366">
        <f t="shared" si="13"/>
        <v>0</v>
      </c>
      <c r="Q148" s="366">
        <f t="shared" si="13"/>
        <v>0</v>
      </c>
      <c r="R148" s="366">
        <f t="shared" si="13"/>
        <v>0</v>
      </c>
      <c r="S148" s="366">
        <f t="shared" si="13"/>
        <v>0</v>
      </c>
      <c r="T148" s="36"/>
      <c r="U148" s="36"/>
    </row>
    <row r="149" spans="1:21">
      <c r="A149" s="3"/>
      <c r="B149" s="3"/>
      <c r="C149" s="3"/>
      <c r="D149" s="3"/>
      <c r="E149" s="3"/>
      <c r="F149" s="3"/>
      <c r="G149" s="3"/>
      <c r="H149" s="3"/>
      <c r="I149" s="3"/>
      <c r="J149" s="3"/>
      <c r="K149" s="3"/>
      <c r="L149" s="3"/>
      <c r="M149" s="3"/>
      <c r="N149"/>
      <c r="O149"/>
      <c r="P149" s="36"/>
      <c r="Q149" s="36"/>
    </row>
    <row r="150" spans="1:21">
      <c r="N150"/>
      <c r="O150"/>
      <c r="P150" s="36"/>
      <c r="Q150" s="36"/>
    </row>
    <row r="151" spans="1:21">
      <c r="N151"/>
      <c r="O151"/>
      <c r="P151" s="36"/>
      <c r="Q151" s="36"/>
    </row>
    <row r="152" spans="1:21">
      <c r="N152"/>
      <c r="O152"/>
      <c r="P152" s="36"/>
      <c r="Q152" s="36"/>
    </row>
  </sheetData>
  <sheetProtection password="CFC9" sheet="1"/>
  <mergeCells count="73">
    <mergeCell ref="O31:O34"/>
    <mergeCell ref="E118:E119"/>
    <mergeCell ref="F118:F119"/>
    <mergeCell ref="F120:F121"/>
    <mergeCell ref="E120:E121"/>
    <mergeCell ref="F47:I47"/>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5:D146"/>
    <mergeCell ref="B128:D129"/>
    <mergeCell ref="B130:D131"/>
    <mergeCell ref="B132:D133"/>
    <mergeCell ref="B134:D135"/>
    <mergeCell ref="B18:C18"/>
    <mergeCell ref="E10:F10"/>
    <mergeCell ref="I8:J8"/>
    <mergeCell ref="C10:D10"/>
    <mergeCell ref="E12:F12"/>
    <mergeCell ref="C8:D8"/>
    <mergeCell ref="B14:J14"/>
    <mergeCell ref="B2:J2"/>
    <mergeCell ref="C4:D4"/>
    <mergeCell ref="E4:F4"/>
    <mergeCell ref="G4:J4"/>
    <mergeCell ref="H16:I16"/>
    <mergeCell ref="C6:D6"/>
    <mergeCell ref="E6:F6"/>
    <mergeCell ref="I6:J6"/>
    <mergeCell ref="G12:J12"/>
    <mergeCell ref="G10:J10"/>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s>
  <phoneticPr fontId="30" type="noConversion"/>
  <conditionalFormatting sqref="B34 C33:N33 B32:H32 C31">
    <cfRule type="expression" dxfId="40" priority="1" stopIfTrue="1">
      <formula>+AND(B30&gt;=#REF!,B30&lt;=#REF!)</formula>
    </cfRule>
  </conditionalFormatting>
  <conditionalFormatting sqref="C34:N34">
    <cfRule type="expression" dxfId="39" priority="2" stopIfTrue="1">
      <formula>+AND(C32&gt;=#REF!,C32&lt;=#REF!)</formula>
    </cfRule>
  </conditionalFormatting>
  <conditionalFormatting sqref="C30:N30 C94:N94">
    <cfRule type="cellIs" dxfId="38" priority="5" stopIfTrue="1" operator="equal">
      <formula>$C$16</formula>
    </cfRule>
  </conditionalFormatting>
  <conditionalFormatting sqref="C12:D12">
    <cfRule type="cellIs" dxfId="37" priority="7" stopIfTrue="1" operator="equal">
      <formula>"C"</formula>
    </cfRule>
    <cfRule type="cellIs" dxfId="36" priority="8" stopIfTrue="1" operator="equal">
      <formula>"B2"</formula>
    </cfRule>
    <cfRule type="cellIs" dxfId="35" priority="9" stopIfTrue="1" operator="equal">
      <formula>"B1"</formula>
    </cfRule>
  </conditionalFormatting>
  <conditionalFormatting sqref="H116:S117 H142:S142">
    <cfRule type="cellIs" dxfId="34" priority="16" stopIfTrue="1" operator="equal">
      <formula>$C$16</formula>
    </cfRule>
  </conditionalFormatting>
  <conditionalFormatting sqref="F47:I47">
    <cfRule type="expression" dxfId="33" priority="17" stopIfTrue="1">
      <formula>LEFT($F$47,2)="OK"</formula>
    </cfRule>
  </conditionalFormatting>
  <dataValidations count="9">
    <dataValidation type="list" allowBlank="1" showInputMessage="1" showErrorMessage="1" sqref="B108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12:D12" xr:uid="{00000000-0002-0000-0200-000003000000}">
      <formula1>Rating</formula1>
    </dataValidation>
    <dataValidation type="list" allowBlank="1" showInputMessage="1" showErrorMessage="1" sqref="I8:J8" xr:uid="{00000000-0002-0000-0200-000004000000}">
      <formula1>Phase</formula1>
    </dataValidation>
    <dataValidation type="list" allowBlank="1" showInputMessage="1" showErrorMessage="1" sqref="G8" xr:uid="{00000000-0002-0000-0200-000005000000}">
      <formula1>Round</formula1>
    </dataValidation>
    <dataValidation type="list" allowBlank="1" showInputMessage="1" showErrorMessage="1" sqref="D26" xr:uid="{00000000-0002-0000-0200-000006000000}">
      <formula1>Currency</formula1>
    </dataValidation>
    <dataValidation type="list" allowBlank="1" showInputMessage="1" showErrorMessage="1" sqref="C108:C111" xr:uid="{00000000-0002-0000-0200-000007000000}">
      <formula1>Medicaments</formula1>
    </dataValidation>
    <dataValidation type="list" allowBlank="1" showInputMessage="1" showErrorMessage="1" sqref="C4:D4" xr:uid="{00000000-0002-0000-0200-000008000000}">
      <formula1>Ciudades</formula1>
    </dataValidation>
  </dataValidations>
  <pageMargins left="0.70866141732283472" right="0.70866141732283472" top="0.74803149606299213" bottom="0.74803149606299213" header="0.31496062992125984" footer="0.31496062992125984"/>
  <pageSetup paperSize="9" scale="32" fitToHeight="8" orientation="landscape" r:id="rId1"/>
  <headerFooter>
    <oddFooter>&amp;L&amp;F&amp;C&amp;A&amp;R&amp;D</oddFooter>
  </headerFooter>
  <rowBreaks count="1" manualBreakCount="1">
    <brk id="48" max="16383" man="1"/>
  </rowBreaks>
  <ignoredErrors>
    <ignoredError sqref="H142:S142 E143"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pageSetUpPr fitToPage="1"/>
  </sheetPr>
  <dimension ref="A1:X18"/>
  <sheetViews>
    <sheetView showGridLines="0" topLeftCell="F3" zoomScale="110" zoomScaleNormal="110" zoomScaleSheetLayoutView="100" workbookViewId="0">
      <selection activeCell="L10" sqref="L10"/>
    </sheetView>
  </sheetViews>
  <sheetFormatPr baseColWidth="10" defaultColWidth="11.42578125" defaultRowHeight="15"/>
  <cols>
    <col min="1" max="1" width="21.140625" style="3" customWidth="1"/>
    <col min="2" max="2" width="12.5703125" style="3" customWidth="1"/>
    <col min="3" max="3" width="20.5703125" style="3" customWidth="1"/>
    <col min="4" max="4" width="15.28515625" style="3" customWidth="1"/>
    <col min="5" max="5" width="11.7109375" style="3" customWidth="1"/>
    <col min="6" max="6" width="18.7109375" style="3" customWidth="1"/>
    <col min="7" max="7" width="11.7109375" style="3" customWidth="1"/>
    <col min="8" max="8" width="18.4257812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49"/>
      <c r="H1" s="2"/>
      <c r="I1" s="2"/>
      <c r="J1" s="2"/>
    </row>
    <row r="2" spans="1:24" ht="25.5" customHeight="1"/>
    <row r="3" spans="1:24" ht="36">
      <c r="B3" s="703" t="str">
        <f>+"Tablero de mando: "&amp;" "&amp;+'Introducción de datos'!C4&amp;" - "&amp;+'Introducción de datos'!G6</f>
        <v>Tablero de mando:  Perú - VIH / SIDA</v>
      </c>
      <c r="C3" s="703"/>
      <c r="D3" s="703"/>
      <c r="E3" s="703"/>
      <c r="F3" s="703"/>
      <c r="G3" s="703"/>
      <c r="H3" s="703"/>
      <c r="I3" s="703"/>
      <c r="J3" s="703"/>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42" t="s">
        <v>18</v>
      </c>
      <c r="B6" s="705" t="str">
        <f>+'Introducción de datos'!C4</f>
        <v>Perú</v>
      </c>
      <c r="C6" s="705"/>
      <c r="D6" s="709" t="s">
        <v>208</v>
      </c>
      <c r="E6" s="709"/>
      <c r="F6" s="710" t="str">
        <f>+'Introducción de datos'!G4</f>
        <v>Expansión de la Respuesta Nacional al VIH en poblaciones clave y vulnerables de ámbitos urbanos y amazónicos del Perú</v>
      </c>
      <c r="G6" s="710"/>
      <c r="H6" s="710"/>
      <c r="I6" s="710"/>
      <c r="J6" s="710"/>
      <c r="K6" s="49"/>
      <c r="L6" s="79"/>
      <c r="M6" s="49"/>
      <c r="N6" s="49"/>
      <c r="O6" s="49"/>
      <c r="P6" s="50"/>
      <c r="Q6" s="17"/>
      <c r="R6" s="17"/>
      <c r="S6" s="17"/>
      <c r="T6" s="17"/>
      <c r="U6" s="17"/>
    </row>
    <row r="7" spans="1:24" ht="8.25" customHeight="1">
      <c r="B7" s="6"/>
      <c r="C7" s="7"/>
      <c r="D7" s="7"/>
      <c r="E7" s="8"/>
      <c r="F7" s="8"/>
      <c r="G7" s="9"/>
      <c r="H7" s="9"/>
      <c r="K7" s="49"/>
      <c r="L7" s="49"/>
      <c r="M7" s="49"/>
      <c r="N7" s="49"/>
      <c r="O7" s="49"/>
      <c r="P7" s="50"/>
      <c r="Q7" s="17"/>
      <c r="R7" s="17"/>
      <c r="S7" s="17"/>
      <c r="T7" s="17"/>
      <c r="U7" s="17"/>
    </row>
    <row r="8" spans="1:24" ht="3.75" customHeight="1">
      <c r="C8" s="10"/>
      <c r="D8" s="10"/>
      <c r="E8" s="10"/>
      <c r="F8" s="10"/>
      <c r="G8" s="10"/>
      <c r="H8" s="10"/>
      <c r="I8" s="10"/>
      <c r="J8" s="10"/>
      <c r="K8" s="49"/>
      <c r="L8" s="49"/>
      <c r="M8" s="49"/>
      <c r="N8" s="49"/>
      <c r="O8" s="51"/>
      <c r="P8" s="50"/>
      <c r="Q8" s="51"/>
      <c r="R8" s="52"/>
      <c r="S8" s="17"/>
      <c r="T8" s="17"/>
      <c r="U8" s="17"/>
    </row>
    <row r="9" spans="1:24" ht="25.5" customHeight="1">
      <c r="A9" s="329" t="s">
        <v>19</v>
      </c>
      <c r="B9" s="295" t="str">
        <f>+'Introducción de datos'!G6</f>
        <v>VIH / SIDA</v>
      </c>
      <c r="C9" s="202" t="s">
        <v>210</v>
      </c>
      <c r="D9" s="296" t="str">
        <f>+'Introducción de datos'!C6</f>
        <v>1830 PER-H-CARE</v>
      </c>
      <c r="E9" s="707" t="s">
        <v>81</v>
      </c>
      <c r="F9" s="707"/>
      <c r="G9" s="297" t="str">
        <f>+'Introducción de datos'!C10</f>
        <v>1 julio de 2019</v>
      </c>
      <c r="H9" s="329" t="s">
        <v>82</v>
      </c>
      <c r="I9" s="706">
        <f>+'Introducción de datos'!I6</f>
        <v>6264586</v>
      </c>
      <c r="J9" s="706"/>
      <c r="K9" s="49"/>
      <c r="L9" s="49"/>
      <c r="M9" s="49"/>
      <c r="N9" s="49"/>
      <c r="O9" s="51"/>
      <c r="P9" s="50"/>
      <c r="Q9" s="51"/>
      <c r="R9" s="52"/>
      <c r="S9" s="17"/>
      <c r="T9" s="11"/>
      <c r="U9" s="11"/>
      <c r="V9" s="10"/>
      <c r="W9" s="10"/>
      <c r="X9" s="10"/>
    </row>
    <row r="10" spans="1:24" ht="25.5" customHeight="1">
      <c r="A10" s="329" t="s">
        <v>21</v>
      </c>
      <c r="B10" s="298" t="str">
        <f>IF(ISBLANK('Introducción de datos'!G8),"",'Introducción de datos'!G8)</f>
        <v>Seleccionar</v>
      </c>
      <c r="C10" s="202" t="s">
        <v>22</v>
      </c>
      <c r="D10" s="299" t="str">
        <f>+'Introducción de datos'!I8</f>
        <v>Seleccionar</v>
      </c>
      <c r="E10" s="708" t="s">
        <v>20</v>
      </c>
      <c r="F10" s="708"/>
      <c r="G10" s="704" t="str">
        <f>+'Introducción de datos'!C8</f>
        <v>CARE PERU</v>
      </c>
      <c r="H10" s="704"/>
      <c r="I10" s="704"/>
      <c r="J10" s="704"/>
      <c r="K10" s="53"/>
      <c r="L10" s="53"/>
      <c r="M10" s="49"/>
      <c r="N10" s="53"/>
      <c r="O10" s="51"/>
      <c r="P10" s="50"/>
      <c r="Q10" s="11"/>
      <c r="R10" s="52"/>
      <c r="S10" s="17"/>
      <c r="T10" s="11"/>
      <c r="U10" s="11"/>
    </row>
    <row r="11" spans="1:24" ht="25.5" customHeight="1">
      <c r="A11" s="329" t="s">
        <v>27</v>
      </c>
      <c r="B11" s="300" t="str">
        <f>+'Introducción de datos'!C16</f>
        <v>P5</v>
      </c>
      <c r="C11" s="285" t="s">
        <v>83</v>
      </c>
      <c r="D11" s="301">
        <f>+'Introducción de datos'!E16</f>
        <v>43831</v>
      </c>
      <c r="E11" s="707" t="s">
        <v>209</v>
      </c>
      <c r="F11" s="707"/>
      <c r="G11" s="301">
        <f>+'Introducción de datos'!G16</f>
        <v>44104</v>
      </c>
      <c r="H11" s="329" t="s">
        <v>25</v>
      </c>
      <c r="I11" s="711" t="str">
        <f>+'Introducción de datos'!C12</f>
        <v>Seleccionar</v>
      </c>
      <c r="J11" s="711"/>
      <c r="K11" s="248"/>
      <c r="L11" s="53"/>
      <c r="M11" s="49"/>
      <c r="N11" s="53"/>
      <c r="O11" s="53"/>
      <c r="P11" s="50"/>
      <c r="Q11" s="11"/>
      <c r="R11" s="52"/>
      <c r="S11" s="17"/>
      <c r="T11" s="12"/>
      <c r="U11" s="11"/>
    </row>
    <row r="12" spans="1:24" ht="25.5" customHeight="1">
      <c r="A12" s="329" t="s">
        <v>24</v>
      </c>
      <c r="B12" s="704" t="str">
        <f>+'Introducción de datos'!G10</f>
        <v>PwC (PricewaterhouseCoopers)</v>
      </c>
      <c r="C12" s="704"/>
      <c r="D12" s="704"/>
      <c r="E12" s="708" t="s">
        <v>278</v>
      </c>
      <c r="F12" s="708"/>
      <c r="G12" s="704" t="str">
        <f>+'Introducción de datos'!G12</f>
        <v>Alwin De Greeff</v>
      </c>
      <c r="H12" s="704"/>
      <c r="I12" s="704"/>
      <c r="J12" s="704"/>
      <c r="K12" s="53"/>
      <c r="L12" s="53"/>
      <c r="M12" s="49"/>
      <c r="N12" s="53"/>
      <c r="O12" s="17"/>
      <c r="P12" s="50"/>
      <c r="Q12" s="11"/>
      <c r="R12" s="52"/>
      <c r="S12" s="17"/>
      <c r="T12" s="11"/>
      <c r="U12" s="54"/>
      <c r="V12" s="11"/>
      <c r="W12" s="12"/>
      <c r="X12" s="11"/>
    </row>
    <row r="13" spans="1:24" ht="25.5" customHeight="1">
      <c r="A13" s="329" t="s">
        <v>30</v>
      </c>
      <c r="B13" s="704" t="str">
        <f>+'Introducción de datos'!D18</f>
        <v>CARE PERU</v>
      </c>
      <c r="C13" s="704"/>
      <c r="D13" s="704"/>
      <c r="E13" s="708" t="s">
        <v>84</v>
      </c>
      <c r="F13" s="708"/>
      <c r="G13" s="712">
        <f>+'Introducción de datos'!J16</f>
        <v>44134</v>
      </c>
      <c r="H13" s="713"/>
      <c r="I13" s="713"/>
      <c r="J13" s="713"/>
      <c r="K13" s="17"/>
      <c r="L13" s="18"/>
      <c r="M13" s="18"/>
      <c r="N13" s="18"/>
      <c r="O13" s="17"/>
      <c r="P13" s="18"/>
      <c r="Q13" s="18"/>
      <c r="R13" s="52"/>
      <c r="S13" s="17"/>
      <c r="T13" s="18"/>
      <c r="U13" s="55"/>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11"/>
      <c r="D16" s="16"/>
      <c r="E16" s="330"/>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2">
    <dataValidation type="date" operator="greaterThan" allowBlank="1" showInputMessage="1" showErrorMessage="1" error="the date can´t be earlier than the start date" sqref="G11" xr:uid="{00000000-0002-0000-0300-000000000000}">
      <formula1>D11</formula1>
    </dataValidation>
    <dataValidation type="list" allowBlank="1" showInputMessage="1" showErrorMessage="1" sqref="G7" xr:uid="{00000000-0002-0000-0300-000001000000}">
      <formula1>$K$8:$K$9</formula1>
    </dataValidation>
  </dataValidations>
  <pageMargins left="0.70866141732283472" right="0.70866141732283472" top="0.74803149606299213" bottom="0.74803149606299213" header="0.31496062992125984" footer="0.31496062992125984"/>
  <pageSetup paperSize="9" scale="79" orientation="landscape" r:id="rId1"/>
  <headerFooter>
    <oddFooter>&amp;L&amp;F&amp;C&amp;A&amp;R&amp;D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1"/>
  </sheetPr>
  <dimension ref="A1:O34"/>
  <sheetViews>
    <sheetView showGridLines="0" topLeftCell="A3" zoomScale="110" zoomScaleNormal="110" workbookViewId="0">
      <selection activeCell="I9" sqref="I9:K9"/>
    </sheetView>
  </sheetViews>
  <sheetFormatPr baseColWidth="10" defaultColWidth="9.140625" defaultRowHeight="15"/>
  <cols>
    <col min="1" max="1" width="3.5703125" customWidth="1"/>
    <col min="2" max="2" width="11.28515625" customWidth="1"/>
    <col min="3" max="3" width="5.140625" customWidth="1"/>
    <col min="4" max="4" width="12.42578125" customWidth="1"/>
    <col min="5" max="5" width="11.42578125" customWidth="1"/>
    <col min="6" max="6" width="28" customWidth="1"/>
    <col min="7" max="7" width="3.85546875" customWidth="1"/>
    <col min="8" max="8" width="10.42578125" customWidth="1"/>
    <col min="9" max="9" width="14.7109375" customWidth="1"/>
    <col min="10" max="10" width="12" customWidth="1"/>
    <col min="11" max="11" width="11.7109375" customWidth="1"/>
    <col min="12" max="12" width="3.7109375" customWidth="1"/>
  </cols>
  <sheetData>
    <row r="1" spans="2:15" ht="30.75" customHeight="1">
      <c r="B1" s="3"/>
      <c r="C1" s="3"/>
      <c r="D1" s="3"/>
      <c r="E1" s="3"/>
      <c r="F1" s="3"/>
      <c r="G1" s="3"/>
      <c r="H1" s="3"/>
      <c r="I1" s="3"/>
      <c r="J1" s="3"/>
      <c r="K1" s="3"/>
    </row>
    <row r="2" spans="2:15" ht="27.75" customHeight="1">
      <c r="B2" s="640" t="str">
        <f>+"Cuadro de mando:  "&amp;"  "&amp;+'Introducción de datos'!C4&amp;" - "&amp;'Introducción de datos'!G6</f>
        <v>Cuadro de mando:    Perú - VIH / SIDA</v>
      </c>
      <c r="C2" s="640"/>
      <c r="D2" s="640"/>
      <c r="E2" s="640"/>
      <c r="F2" s="640"/>
      <c r="G2" s="640"/>
      <c r="H2" s="640"/>
      <c r="I2" s="640"/>
      <c r="J2" s="640"/>
      <c r="K2" s="640"/>
      <c r="L2" s="1"/>
      <c r="M2" s="1"/>
      <c r="N2" s="1"/>
      <c r="O2" s="1"/>
    </row>
    <row r="3" spans="2:15">
      <c r="B3" s="114" t="str">
        <f>+'Introducción de datos'!G8</f>
        <v>Seleccionar</v>
      </c>
      <c r="C3" s="722" t="str">
        <f>+'Introducción de datos'!I8</f>
        <v>Seleccionar</v>
      </c>
      <c r="D3" s="722"/>
      <c r="E3" s="721"/>
      <c r="F3" s="721"/>
      <c r="G3" s="721"/>
      <c r="H3" s="721"/>
      <c r="I3" s="719" t="str">
        <f>+'Introducción de datos'!B16</f>
        <v>Periodo:</v>
      </c>
      <c r="J3" s="719"/>
      <c r="K3" s="178" t="str">
        <f>+'Introducción de datos'!C16</f>
        <v>P5</v>
      </c>
      <c r="L3" s="80"/>
    </row>
    <row r="4" spans="2:15">
      <c r="B4" s="114" t="str">
        <f>+'Introducción de datos'!B12</f>
        <v>Ultima calificación:</v>
      </c>
      <c r="C4" s="723" t="str">
        <f>+'Introducción de datos'!C12</f>
        <v>Seleccionar</v>
      </c>
      <c r="D4" s="723"/>
      <c r="E4" s="721" t="str">
        <f>+'Introducción de datos'!C8</f>
        <v>CARE PERU</v>
      </c>
      <c r="F4" s="721"/>
      <c r="G4" s="721"/>
      <c r="H4" s="721"/>
      <c r="I4" s="719" t="str">
        <f>+'Introducción de datos'!D16</f>
        <v>Desde:</v>
      </c>
      <c r="J4" s="720"/>
      <c r="K4" s="180">
        <f>+'Introducción de datos'!E16</f>
        <v>43831</v>
      </c>
    </row>
    <row r="5" spans="2:15" ht="18.75" customHeight="1">
      <c r="B5" s="114"/>
      <c r="C5" s="114"/>
      <c r="D5" s="718" t="str">
        <f>+'Introducción de datos'!G4</f>
        <v>Expansión de la Respuesta Nacional al VIH en poblaciones clave y vulnerables de ámbitos urbanos y amazónicos del Perú</v>
      </c>
      <c r="E5" s="718"/>
      <c r="F5" s="718"/>
      <c r="G5" s="718"/>
      <c r="H5" s="718"/>
      <c r="I5" s="718"/>
      <c r="J5" s="114" t="str">
        <f>+'Introducción de datos'!F16</f>
        <v>Hasta:</v>
      </c>
      <c r="K5" s="180">
        <f>+'Introducción de datos'!G16</f>
        <v>44104</v>
      </c>
    </row>
    <row r="6" spans="2:15" ht="18.75">
      <c r="B6" s="118"/>
      <c r="C6" s="114"/>
      <c r="D6" s="115"/>
      <c r="E6" s="724" t="s">
        <v>85</v>
      </c>
      <c r="F6" s="725"/>
      <c r="G6" s="725"/>
      <c r="H6" s="725"/>
      <c r="I6" s="3"/>
      <c r="J6" s="3"/>
      <c r="K6" s="3"/>
    </row>
    <row r="7" spans="2:15" ht="10.5" customHeight="1">
      <c r="B7" s="119"/>
      <c r="C7" s="120"/>
      <c r="D7" s="121"/>
      <c r="E7" s="122"/>
      <c r="F7" s="122"/>
      <c r="G7" s="123"/>
      <c r="H7" s="123"/>
      <c r="I7" s="117"/>
      <c r="J7" s="117"/>
      <c r="K7" s="116"/>
    </row>
    <row r="8" spans="2:15">
      <c r="B8" s="183" t="str">
        <f>+'Introducción de datos'!B27&amp; " - en ("&amp;'Introducción de datos'!D26&amp;")         "&amp;+I3&amp;" "&amp;+K3</f>
        <v>F1: Presupuesto y desembolsos del Fondo Mundial - en ($)         Periodo: P5</v>
      </c>
      <c r="C8" s="124"/>
      <c r="D8" s="2"/>
      <c r="E8" s="2"/>
      <c r="F8" s="2"/>
      <c r="H8" s="183" t="str">
        <f>+'Introducción de datos'!B49&amp; " - en ("&amp;'Introducción de datos'!D26&amp;")         "&amp;+I3&amp;" "&amp;+K3</f>
        <v>F3: Desembolsos y gastos - en ($)         Periodo: P5</v>
      </c>
      <c r="I8" s="3"/>
      <c r="J8" s="3"/>
      <c r="K8" s="3"/>
    </row>
    <row r="9" spans="2:15">
      <c r="B9" s="417" t="s">
        <v>86</v>
      </c>
      <c r="C9" s="731" t="s">
        <v>360</v>
      </c>
      <c r="D9" s="732"/>
      <c r="E9" s="732"/>
      <c r="F9" s="733"/>
      <c r="H9" s="418" t="s">
        <v>86</v>
      </c>
      <c r="I9" s="734" t="s">
        <v>361</v>
      </c>
      <c r="J9" s="732"/>
      <c r="K9" s="733"/>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c r="M15" s="490" t="s">
        <v>302</v>
      </c>
    </row>
    <row r="16" spans="2:15">
      <c r="B16" s="2"/>
      <c r="C16" s="2"/>
      <c r="D16" s="2"/>
      <c r="E16" s="2"/>
      <c r="F16" s="2"/>
      <c r="G16" s="3"/>
      <c r="H16" s="3"/>
      <c r="I16" s="3"/>
      <c r="J16" s="3"/>
      <c r="K16" s="3"/>
      <c r="M16" s="490" t="s">
        <v>303</v>
      </c>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ht="24" customHeight="1">
      <c r="A21" s="19"/>
      <c r="B21" s="19"/>
      <c r="C21" s="19"/>
      <c r="D21" s="19"/>
      <c r="E21" s="19"/>
      <c r="F21" s="19"/>
      <c r="G21" s="19"/>
      <c r="H21" s="19"/>
      <c r="I21" s="19"/>
      <c r="J21" s="19"/>
      <c r="K21" s="19"/>
    </row>
    <row r="22" spans="1:11" ht="23.25" customHeight="1">
      <c r="B22" s="449" t="str">
        <f>+'Introducción de datos'!B36&amp; " - en ("&amp;'Introducción de datos'!D26&amp;")  "&amp;+I3&amp;" "&amp;+K3</f>
        <v>F2: Presupuesto y gastos reales por objetivo de la subvención - en ($)  Periodo: P5</v>
      </c>
      <c r="C22" s="2"/>
      <c r="D22" s="2"/>
      <c r="E22" s="2"/>
      <c r="F22" s="2"/>
      <c r="H22" s="449" t="str">
        <f>+'Introducción de datos'!B58&amp;"   "&amp;+I3&amp;" "&amp;+K3</f>
        <v>F4: Último ciclo de información y desembolso del RP   Periodo: P5</v>
      </c>
      <c r="J22" s="3"/>
      <c r="K22" s="3"/>
    </row>
    <row r="23" spans="1:11">
      <c r="B23" s="418" t="s">
        <v>87</v>
      </c>
      <c r="C23" s="734" t="s">
        <v>362</v>
      </c>
      <c r="D23" s="732"/>
      <c r="E23" s="732"/>
      <c r="F23" s="733"/>
      <c r="G23" s="326"/>
      <c r="H23" s="418" t="s">
        <v>86</v>
      </c>
      <c r="I23" s="734"/>
      <c r="J23" s="735"/>
      <c r="K23" s="736"/>
    </row>
    <row r="24" spans="1:11" ht="15.75" thickBot="1">
      <c r="B24" s="192"/>
      <c r="C24" s="192"/>
      <c r="D24" s="192"/>
      <c r="E24" s="192"/>
      <c r="F24" s="192"/>
      <c r="G24" s="192"/>
      <c r="H24" s="193"/>
      <c r="I24" s="193"/>
      <c r="J24" s="192"/>
      <c r="K24" s="192"/>
    </row>
    <row r="25" spans="1:11" ht="29.25" customHeight="1" thickBot="1">
      <c r="B25" s="3"/>
      <c r="C25" s="3"/>
      <c r="D25" s="3"/>
      <c r="E25" s="3"/>
      <c r="F25" s="3"/>
      <c r="G25" s="283"/>
      <c r="H25" s="726" t="s">
        <v>304</v>
      </c>
      <c r="I25" s="727"/>
      <c r="J25" s="727"/>
      <c r="K25" s="728"/>
    </row>
    <row r="26" spans="1:11" ht="24.75">
      <c r="B26" s="3"/>
      <c r="C26" s="3"/>
      <c r="D26" s="3"/>
      <c r="E26" s="3"/>
      <c r="F26" s="3"/>
      <c r="G26" s="262"/>
      <c r="H26" s="729"/>
      <c r="I26" s="730"/>
      <c r="J26" s="419" t="s">
        <v>45</v>
      </c>
      <c r="K26" s="420" t="s">
        <v>46</v>
      </c>
    </row>
    <row r="27" spans="1:11" ht="29.25" customHeight="1">
      <c r="B27" s="3"/>
      <c r="C27" s="3"/>
      <c r="D27" s="3"/>
      <c r="E27" s="3"/>
      <c r="F27" s="3"/>
      <c r="G27" s="284"/>
      <c r="H27" s="714" t="str">
        <f>'Introducción de datos'!B62</f>
        <v>Días tardados en presentar el informe de progreso actualizado y solicitud de desembolso al ALF</v>
      </c>
      <c r="I27" s="715"/>
      <c r="J27" s="273">
        <f>+'Introducción de datos'!C62</f>
        <v>0</v>
      </c>
      <c r="K27" s="272">
        <f>+'Introducción de datos'!D62</f>
        <v>0</v>
      </c>
    </row>
    <row r="28" spans="1:11" ht="21" customHeight="1">
      <c r="B28" s="3"/>
      <c r="C28" s="3"/>
      <c r="D28" s="3"/>
      <c r="E28" s="3"/>
      <c r="F28" s="3"/>
      <c r="G28" s="284"/>
      <c r="H28" s="714" t="str">
        <f>'Introducción de datos'!B63</f>
        <v>Días que el desembolso ha tardado en llegar al RP</v>
      </c>
      <c r="I28" s="715"/>
      <c r="J28" s="273">
        <f>+'Introducción de datos'!C63</f>
        <v>1</v>
      </c>
      <c r="K28" s="272">
        <f>+'Introducción de datos'!D63</f>
        <v>1</v>
      </c>
    </row>
    <row r="29" spans="1:11" ht="21" customHeight="1" thickBot="1">
      <c r="B29" s="3"/>
      <c r="C29" s="3"/>
      <c r="D29" s="3"/>
      <c r="E29" s="3"/>
      <c r="F29" s="3"/>
      <c r="G29" s="284"/>
      <c r="H29" s="716" t="str">
        <f>'Introducción de datos'!B64</f>
        <v xml:space="preserve">Días que el desembolso ha tardado en llegar a los subreceptores </v>
      </c>
      <c r="I29" s="717"/>
      <c r="J29" s="274" t="str">
        <f>+'Introducción de datos'!C64</f>
        <v>-</v>
      </c>
      <c r="K29" s="275" t="str">
        <f>+'Introducción de datos'!D64</f>
        <v>-</v>
      </c>
    </row>
    <row r="30" spans="1:11">
      <c r="B30" s="3"/>
      <c r="C30" s="3"/>
      <c r="D30" s="3"/>
      <c r="E30" s="3"/>
      <c r="F30" s="3"/>
      <c r="G30" s="3"/>
      <c r="H30" s="3"/>
      <c r="I30" s="3"/>
      <c r="J30" s="3"/>
      <c r="K30" s="3"/>
    </row>
    <row r="31" spans="1:11">
      <c r="B31" s="3"/>
      <c r="C31" s="15"/>
      <c r="D31" s="212"/>
      <c r="E31" s="3"/>
      <c r="F31" s="3"/>
      <c r="G31" s="3"/>
      <c r="H31" s="3"/>
      <c r="I31" s="3"/>
      <c r="J31" s="3"/>
      <c r="K31" s="3"/>
    </row>
    <row r="32" spans="1:11">
      <c r="B32" s="3"/>
      <c r="C32" s="491" t="s">
        <v>37</v>
      </c>
      <c r="D32" s="212"/>
      <c r="E32" s="3"/>
      <c r="F32" s="3"/>
      <c r="G32" s="3"/>
      <c r="H32" s="3"/>
      <c r="I32" s="3"/>
      <c r="J32" s="3"/>
      <c r="K32" s="3"/>
    </row>
    <row r="33" spans="3:5">
      <c r="C33" s="490" t="s">
        <v>66</v>
      </c>
    </row>
    <row r="34" spans="3:5">
      <c r="E34" s="19"/>
    </row>
  </sheetData>
  <sheetProtection password="CFC9" sheet="1"/>
  <mergeCells count="18">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s>
  <phoneticPr fontId="30" type="noConversion"/>
  <conditionalFormatting sqref="K27:K29">
    <cfRule type="cellIs" dxfId="29" priority="4" stopIfTrue="1" operator="greaterThan">
      <formula>J27</formula>
    </cfRule>
    <cfRule type="cellIs" dxfId="28" priority="5" stopIfTrue="1" operator="between">
      <formula>J27</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r:id="rId1"/>
  <headerFooter>
    <oddFooter>&amp;L&amp;F&amp;C&amp;A&amp;R&amp;D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1"/>
  </sheetPr>
  <dimension ref="A1:P35"/>
  <sheetViews>
    <sheetView showGridLines="0" topLeftCell="A18" zoomScale="90" zoomScaleNormal="90" workbookViewId="0">
      <selection activeCell="A27" sqref="A27:XFD27"/>
    </sheetView>
  </sheetViews>
  <sheetFormatPr baseColWidth="10" defaultColWidth="9.140625" defaultRowHeight="15"/>
  <cols>
    <col min="1" max="1" width="3.28515625" customWidth="1"/>
    <col min="2" max="2" width="14.28515625" customWidth="1"/>
    <col min="3" max="3" width="12.42578125" customWidth="1"/>
    <col min="4" max="4" width="13.140625" customWidth="1"/>
    <col min="5" max="5" width="11.42578125" customWidth="1"/>
    <col min="6" max="6" width="11.85546875" customWidth="1"/>
    <col min="7" max="7" width="18.7109375" customWidth="1"/>
    <col min="8" max="8" width="10.42578125" customWidth="1"/>
    <col min="9" max="9" width="13" customWidth="1"/>
    <col min="10" max="10" width="13.7109375" customWidth="1"/>
    <col min="11" max="11" width="13.5703125" customWidth="1"/>
    <col min="12" max="12" width="14.140625" customWidth="1"/>
  </cols>
  <sheetData>
    <row r="1" spans="1:16" ht="28.5" customHeight="1">
      <c r="C1" s="208"/>
      <c r="E1" s="209"/>
    </row>
    <row r="2" spans="1:16" ht="27.75" customHeight="1">
      <c r="B2" s="747" t="str">
        <f>+"Cuadro de mando:  "&amp;"  "&amp;+'Introducción de datos'!C4&amp;" - "&amp;'Introducción de datos'!G6</f>
        <v>Cuadro de mando:    Perú - VIH / SIDA</v>
      </c>
      <c r="C2" s="747"/>
      <c r="D2" s="747"/>
      <c r="E2" s="747"/>
      <c r="F2" s="747"/>
      <c r="G2" s="747"/>
      <c r="H2" s="747"/>
      <c r="I2" s="747"/>
      <c r="J2" s="747"/>
      <c r="K2" s="747"/>
      <c r="L2" s="747"/>
      <c r="M2" s="26"/>
      <c r="N2" s="26"/>
      <c r="O2" s="26"/>
      <c r="P2" s="26"/>
    </row>
    <row r="3" spans="1:16">
      <c r="B3" s="24" t="str">
        <f>+'Introducción de datos'!G8</f>
        <v>Seleccionar</v>
      </c>
      <c r="C3" s="746" t="str">
        <f>+'Introducción de datos'!I8</f>
        <v>Seleccionar</v>
      </c>
      <c r="D3" s="746"/>
      <c r="E3" s="744"/>
      <c r="F3" s="744"/>
      <c r="G3" s="744"/>
      <c r="H3" s="744"/>
      <c r="I3" s="744"/>
      <c r="J3" s="740" t="str">
        <f>+'Introducción de datos'!B16</f>
        <v>Periodo:</v>
      </c>
      <c r="K3" s="740"/>
      <c r="L3" s="178" t="str">
        <f>+'Introducción de datos'!C16</f>
        <v>P5</v>
      </c>
    </row>
    <row r="4" spans="1:16">
      <c r="B4" s="24" t="str">
        <f>+'Introducción de datos'!B12</f>
        <v>Ultima calificación:</v>
      </c>
      <c r="C4" s="723" t="str">
        <f>+'Introducción de datos'!C12</f>
        <v>Seleccionar</v>
      </c>
      <c r="D4" s="723"/>
      <c r="E4" s="744" t="str">
        <f>+'Introducción de datos'!C8</f>
        <v>CARE PERU</v>
      </c>
      <c r="F4" s="744"/>
      <c r="G4" s="744"/>
      <c r="H4" s="744"/>
      <c r="I4" s="744"/>
      <c r="J4" s="740" t="str">
        <f>+'Introducción de datos'!D16</f>
        <v>Desde:</v>
      </c>
      <c r="K4" s="741"/>
      <c r="L4" s="180">
        <f>+'Introducción de datos'!E16</f>
        <v>43831</v>
      </c>
    </row>
    <row r="5" spans="1:16" ht="18.75" customHeight="1">
      <c r="B5" s="24"/>
      <c r="C5" s="24"/>
      <c r="D5" s="744" t="str">
        <f>+'Introducción de datos'!G4</f>
        <v>Expansión de la Respuesta Nacional al VIH en poblaciones clave y vulnerables de ámbitos urbanos y amazónicos del Perú</v>
      </c>
      <c r="E5" s="744"/>
      <c r="F5" s="744"/>
      <c r="G5" s="744"/>
      <c r="H5" s="744"/>
      <c r="I5" s="744"/>
      <c r="J5" s="744"/>
      <c r="K5" s="24" t="str">
        <f>+'Introducción de datos'!F16</f>
        <v>Hasta:</v>
      </c>
      <c r="L5" s="180">
        <f>+'Introducción de datos'!G16</f>
        <v>44104</v>
      </c>
    </row>
    <row r="6" spans="1:16" ht="18.75">
      <c r="B6" s="23"/>
      <c r="C6" s="24"/>
      <c r="D6" s="25"/>
      <c r="E6" s="748" t="s">
        <v>198</v>
      </c>
      <c r="F6" s="749"/>
      <c r="G6" s="749"/>
      <c r="H6" s="749"/>
      <c r="I6" s="749"/>
    </row>
    <row r="7" spans="1:16">
      <c r="B7" s="327" t="str">
        <f>+'Introducción de datos'!B69&amp;"     "&amp;+J3&amp;" "&amp;+L3</f>
        <v>M1: Estado de las condiciones precedentes y acciones con fecha límite     Periodo: P5</v>
      </c>
      <c r="C7" s="21"/>
      <c r="H7" s="327" t="str">
        <f>+'Introducción de datos'!B76&amp;"         "&amp;+J3&amp;"  "&amp;+L3</f>
        <v>M2: Estado de los principales puestos directivos del RP         Periodo:  P5</v>
      </c>
    </row>
    <row r="8" spans="1:16">
      <c r="B8" s="421" t="s">
        <v>86</v>
      </c>
      <c r="C8" s="734" t="s">
        <v>363</v>
      </c>
      <c r="D8" s="735"/>
      <c r="E8" s="735"/>
      <c r="F8" s="736"/>
      <c r="G8" s="328"/>
      <c r="H8" s="421" t="s">
        <v>86</v>
      </c>
      <c r="I8" s="734" t="s">
        <v>364</v>
      </c>
      <c r="J8" s="742"/>
      <c r="K8" s="742"/>
      <c r="L8" s="743"/>
    </row>
    <row r="9" spans="1:16">
      <c r="B9" s="19"/>
      <c r="C9" s="19"/>
      <c r="D9" s="19"/>
      <c r="E9" s="19"/>
      <c r="F9" s="19"/>
      <c r="G9" s="19"/>
      <c r="H9" s="19"/>
    </row>
    <row r="10" spans="1:16">
      <c r="A10" s="46"/>
      <c r="B10" s="19"/>
      <c r="C10" s="19"/>
      <c r="D10" s="745"/>
      <c r="E10" s="589"/>
      <c r="F10" s="589"/>
      <c r="G10" s="186"/>
      <c r="H10" s="19"/>
      <c r="N10" s="48"/>
      <c r="O10" s="48"/>
      <c r="P10" s="47"/>
    </row>
    <row r="11" spans="1:16">
      <c r="B11" s="19"/>
      <c r="C11" s="28"/>
      <c r="D11" s="745"/>
      <c r="E11" s="28"/>
      <c r="F11" s="28"/>
      <c r="G11" s="28"/>
      <c r="H11" s="28"/>
      <c r="N11" s="19"/>
      <c r="O11" s="19"/>
    </row>
    <row r="12" spans="1:16">
      <c r="B12" s="28"/>
      <c r="C12" s="76"/>
      <c r="D12" s="77"/>
      <c r="E12" s="77"/>
      <c r="F12" s="77"/>
      <c r="G12" s="77"/>
      <c r="H12" s="78"/>
    </row>
    <row r="13" spans="1:16">
      <c r="B13" s="28"/>
      <c r="C13" s="76"/>
      <c r="D13" s="77"/>
      <c r="E13" s="77"/>
      <c r="F13" s="77"/>
      <c r="G13" s="77"/>
      <c r="H13" s="78"/>
    </row>
    <row r="15" spans="1:16" ht="27.75" customHeight="1">
      <c r="B15" s="327" t="str">
        <f>+'Introducción de datos'!B81&amp;"            "&amp;+J3&amp;" "&amp;+L3</f>
        <v>M3: Acuerdos contractuales (subreceptores)             Periodo: P5</v>
      </c>
      <c r="H15" s="327" t="str">
        <f>+'Introducción de datos'!B86&amp;"                "&amp;+J3&amp;" "&amp;+L3</f>
        <v>M4: Número de informes completos recibidos a tiempo                Periodo: P5</v>
      </c>
    </row>
    <row r="16" spans="1:16">
      <c r="B16" s="421" t="s">
        <v>86</v>
      </c>
      <c r="C16" s="734" t="s">
        <v>365</v>
      </c>
      <c r="D16" s="742"/>
      <c r="E16" s="742"/>
      <c r="F16" s="743"/>
      <c r="G16" s="328"/>
      <c r="H16" s="421" t="s">
        <v>86</v>
      </c>
      <c r="I16" s="734" t="s">
        <v>365</v>
      </c>
      <c r="J16" s="735"/>
      <c r="K16" s="735"/>
      <c r="L16" s="736"/>
    </row>
    <row r="17" spans="2:13">
      <c r="B17" s="29"/>
      <c r="H17" s="30"/>
    </row>
    <row r="18" spans="2:13">
      <c r="M18" s="80"/>
    </row>
    <row r="25" spans="2:13" ht="22.5" customHeight="1"/>
    <row r="26" spans="2:13">
      <c r="B26" s="327" t="str">
        <f>+'Introducción de datos'!B92</f>
        <v>M5: Presupuesto y compra de productos y equipo sanitario, medicamentos y productos farmacéuticos</v>
      </c>
      <c r="H26" s="327" t="str">
        <f>+'Introducción de datos'!B105&amp;"    "&amp;+J3&amp;"  "&amp;+L3</f>
        <v>M6: Diferencia entre existencias actuales y existencias de seguridad    Periodo:  P5</v>
      </c>
    </row>
    <row r="27" spans="2:13">
      <c r="B27" s="421" t="s">
        <v>86</v>
      </c>
      <c r="C27" s="731" t="s">
        <v>367</v>
      </c>
      <c r="D27" s="742"/>
      <c r="E27" s="742"/>
      <c r="F27" s="743"/>
      <c r="G27" s="328"/>
      <c r="H27" s="421" t="s">
        <v>86</v>
      </c>
      <c r="I27" s="734" t="s">
        <v>366</v>
      </c>
      <c r="J27" s="735"/>
      <c r="K27" s="735"/>
      <c r="L27" s="736"/>
    </row>
    <row r="28" spans="2:13" ht="15.75" thickBot="1"/>
    <row r="29" spans="2:13" ht="104.25" customHeight="1">
      <c r="F29" s="288"/>
      <c r="G29" s="288"/>
      <c r="H29" s="430" t="s">
        <v>67</v>
      </c>
      <c r="I29" s="431" t="s">
        <v>68</v>
      </c>
      <c r="J29" s="432" t="s">
        <v>202</v>
      </c>
      <c r="K29" s="422" t="s">
        <v>201</v>
      </c>
      <c r="L29" s="423" t="s">
        <v>200</v>
      </c>
    </row>
    <row r="30" spans="2:13" ht="15" customHeight="1">
      <c r="F30" s="288"/>
      <c r="G30" s="288"/>
      <c r="H30" s="737" t="str">
        <f>+'Introducción de datos'!B108</f>
        <v>VIH/SIDA</v>
      </c>
      <c r="I30" s="286" t="str">
        <f>+'Introducción de datos'!C108</f>
        <v>Producto 1</v>
      </c>
      <c r="J30" s="468" t="str">
        <f>+'Introducción de datos'!I108</f>
        <v/>
      </c>
      <c r="K30" s="469">
        <f>+'Introducción de datos'!J108</f>
        <v>0</v>
      </c>
      <c r="L30" s="472" t="str">
        <f>+'Introducción de datos'!K108</f>
        <v/>
      </c>
    </row>
    <row r="31" spans="2:13">
      <c r="F31" s="288"/>
      <c r="G31" s="288"/>
      <c r="H31" s="738"/>
      <c r="I31" s="286" t="str">
        <f>+'Introducción de datos'!C109</f>
        <v>Producto 2</v>
      </c>
      <c r="J31" s="468" t="str">
        <f>+'Introducción de datos'!I109</f>
        <v/>
      </c>
      <c r="K31" s="469">
        <f>+'Introducción de datos'!J109</f>
        <v>0</v>
      </c>
      <c r="L31" s="473" t="str">
        <f>+'Introducción de datos'!K109</f>
        <v/>
      </c>
    </row>
    <row r="32" spans="2:13">
      <c r="F32" s="288"/>
      <c r="G32" s="288"/>
      <c r="H32" s="738"/>
      <c r="I32" s="286" t="str">
        <f>+'Introducción de datos'!C110</f>
        <v>Producto 3</v>
      </c>
      <c r="J32" s="468" t="str">
        <f>+'Introducción de datos'!I110</f>
        <v/>
      </c>
      <c r="K32" s="469">
        <f>+'Introducción de datos'!J110</f>
        <v>0</v>
      </c>
      <c r="L32" s="472" t="str">
        <f>+'Introducción de datos'!K110</f>
        <v/>
      </c>
    </row>
    <row r="33" spans="2:12" ht="15.75" thickBot="1">
      <c r="F33" s="288"/>
      <c r="G33" s="288"/>
      <c r="H33" s="739"/>
      <c r="I33" s="287">
        <f>+'Introducción de datos'!C111</f>
        <v>0</v>
      </c>
      <c r="J33" s="470" t="str">
        <f>+'Introducción de datos'!I111</f>
        <v/>
      </c>
      <c r="K33" s="471">
        <f>+'Introducción de datos'!J111</f>
        <v>0</v>
      </c>
      <c r="L33" s="472" t="str">
        <f>+'Introducción de datos'!K111</f>
        <v/>
      </c>
    </row>
    <row r="34" spans="2:12" ht="39.75" customHeight="1">
      <c r="B34" s="750" t="str">
        <f>+'Introducción de datos'!B102</f>
        <v>* Incluye sólo los montos de las categorías 4 y 5 (Productos y equipamientos sanitarios y Medicamentos y productos farmacéuticos) de los  Informes Financieros Mejorados</v>
      </c>
      <c r="C34" s="750"/>
      <c r="D34" s="750"/>
      <c r="E34" s="750"/>
      <c r="F34" s="19"/>
      <c r="G34" s="19"/>
      <c r="H34" s="194"/>
      <c r="I34" s="195"/>
      <c r="J34" s="196"/>
      <c r="K34" s="186"/>
      <c r="L34" s="20"/>
    </row>
    <row r="35" spans="2:12">
      <c r="F35" s="19"/>
      <c r="G35" s="19"/>
      <c r="H35" s="19"/>
      <c r="I35" s="19"/>
      <c r="J35" s="19"/>
      <c r="K35" s="19"/>
      <c r="L35" s="19"/>
    </row>
  </sheetData>
  <sheetProtection password="CFC9" sheet="1"/>
  <mergeCells count="19">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 ref="C16:F16"/>
    <mergeCell ref="E10:F10"/>
    <mergeCell ref="C8:F8"/>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sheetPr>
  <dimension ref="A1:AI46"/>
  <sheetViews>
    <sheetView showGridLines="0" topLeftCell="A20" zoomScale="130" zoomScaleNormal="130" workbookViewId="0">
      <selection activeCell="M9" sqref="M9:Q9"/>
    </sheetView>
  </sheetViews>
  <sheetFormatPr baseColWidth="10" defaultColWidth="9.140625" defaultRowHeight="15"/>
  <cols>
    <col min="1" max="1" width="0.42578125" customWidth="1"/>
    <col min="2" max="2" width="17.85546875" customWidth="1"/>
    <col min="3" max="3" width="16.140625" customWidth="1"/>
    <col min="4" max="4" width="17.28515625" customWidth="1"/>
    <col min="5" max="5" width="8" customWidth="1"/>
    <col min="6" max="6" width="10.7109375" customWidth="1"/>
    <col min="7" max="7" width="5.7109375" customWidth="1"/>
    <col min="8" max="8" width="6.28515625" customWidth="1"/>
    <col min="9" max="9" width="6" customWidth="1"/>
    <col min="10" max="10" width="4.140625" customWidth="1"/>
    <col min="11" max="11" width="12.42578125" customWidth="1"/>
    <col min="12" max="12" width="12.140625" customWidth="1"/>
    <col min="13" max="13" width="5" customWidth="1"/>
    <col min="14" max="14" width="6.5703125" customWidth="1"/>
    <col min="15" max="15" width="4.140625" customWidth="1"/>
    <col min="16" max="16" width="15.7109375" customWidth="1"/>
    <col min="17" max="17" width="11.7109375" customWidth="1"/>
    <col min="18" max="18" width="6.5703125" customWidth="1"/>
  </cols>
  <sheetData>
    <row r="1" spans="1:35" ht="26.25" customHeight="1">
      <c r="A1" s="3"/>
      <c r="B1" s="3"/>
      <c r="C1" s="3"/>
      <c r="D1" s="3"/>
      <c r="E1" s="3"/>
      <c r="F1" s="3"/>
      <c r="G1" s="3"/>
      <c r="H1" s="3"/>
      <c r="I1" s="3"/>
      <c r="J1" s="3"/>
      <c r="K1" s="3"/>
      <c r="L1" s="3"/>
      <c r="M1" s="3"/>
      <c r="N1" s="3"/>
      <c r="O1" s="3"/>
      <c r="P1" s="3"/>
    </row>
    <row r="2" spans="1:35" ht="21.75" customHeight="1">
      <c r="A2" s="3"/>
      <c r="B2" s="782" t="str">
        <f>+"Cuadro de mando:  "&amp;"  "&amp;+'Introducción de datos'!C4&amp;" - "&amp;'Introducción de datos'!G6</f>
        <v>Cuadro de mando:    Perú - VIH / SIDA</v>
      </c>
      <c r="C2" s="782"/>
      <c r="D2" s="782"/>
      <c r="E2" s="782"/>
      <c r="F2" s="782"/>
      <c r="G2" s="782"/>
      <c r="H2" s="782"/>
      <c r="I2" s="782"/>
      <c r="J2" s="782"/>
      <c r="K2" s="782"/>
      <c r="L2" s="782"/>
      <c r="M2" s="782"/>
      <c r="N2" s="782"/>
      <c r="O2" s="782"/>
      <c r="P2" s="782"/>
      <c r="Q2" s="782"/>
    </row>
    <row r="3" spans="1:35" ht="18.75">
      <c r="A3" s="3"/>
      <c r="B3" s="114" t="str">
        <f>+'Introducción de datos'!G8</f>
        <v>Seleccionar</v>
      </c>
      <c r="C3" s="722" t="str">
        <f>+'Introducción de datos'!I8</f>
        <v>Seleccionar</v>
      </c>
      <c r="D3" s="722"/>
      <c r="E3" s="721"/>
      <c r="F3" s="721"/>
      <c r="G3" s="721"/>
      <c r="H3" s="721"/>
      <c r="I3" s="785"/>
      <c r="J3" s="785"/>
      <c r="K3" s="785"/>
      <c r="L3" s="3"/>
      <c r="M3" s="3"/>
      <c r="O3" s="719" t="str">
        <f>+'Introducción de datos'!B16</f>
        <v>Periodo:</v>
      </c>
      <c r="P3" s="719"/>
      <c r="Q3" s="179" t="str">
        <f>+'Introducción de datos'!C16</f>
        <v>P5</v>
      </c>
    </row>
    <row r="4" spans="1:35" ht="12" customHeight="1">
      <c r="A4" s="3"/>
      <c r="B4" s="114" t="str">
        <f>+'Introducción de datos'!B12</f>
        <v>Ultima calificación:</v>
      </c>
      <c r="C4" s="786" t="str">
        <f>+'Introducción de datos'!C12</f>
        <v>Seleccionar</v>
      </c>
      <c r="D4" s="786"/>
      <c r="E4" s="721" t="str">
        <f>+'Introducción de datos'!C8</f>
        <v>CARE PERU</v>
      </c>
      <c r="F4" s="721"/>
      <c r="G4" s="721"/>
      <c r="H4" s="721"/>
      <c r="I4" s="721"/>
      <c r="J4" s="721"/>
      <c r="K4" s="721"/>
      <c r="L4" s="721"/>
      <c r="M4" s="3"/>
      <c r="O4" s="289"/>
      <c r="P4" s="114" t="str">
        <f>+'Introducción de datos'!D16</f>
        <v>Desde:</v>
      </c>
      <c r="Q4" s="290">
        <f>+'Introducción de datos'!E16</f>
        <v>43831</v>
      </c>
      <c r="Y4" s="70"/>
      <c r="Z4" s="70"/>
      <c r="AA4" s="70"/>
      <c r="AB4" s="70"/>
      <c r="AC4" s="70"/>
    </row>
    <row r="5" spans="1:35" ht="15.75" customHeight="1">
      <c r="A5" s="3"/>
      <c r="B5" s="114"/>
      <c r="C5" s="114"/>
      <c r="D5" s="721" t="str">
        <f>+'Introducción de datos'!G4</f>
        <v>Expansión de la Respuesta Nacional al VIH en poblaciones clave y vulnerables de ámbitos urbanos y amazónicos del Perú</v>
      </c>
      <c r="E5" s="721"/>
      <c r="F5" s="721"/>
      <c r="G5" s="721"/>
      <c r="H5" s="721"/>
      <c r="I5" s="721"/>
      <c r="J5" s="721"/>
      <c r="K5" s="721"/>
      <c r="L5" s="721"/>
      <c r="M5" s="721"/>
      <c r="N5" s="721"/>
      <c r="P5" s="114" t="str">
        <f>+'Introducción de datos'!F16</f>
        <v>Hasta:</v>
      </c>
      <c r="Q5" s="290">
        <f>+'Introducción de datos'!G16</f>
        <v>44104</v>
      </c>
      <c r="S5" s="203"/>
      <c r="T5" s="203"/>
      <c r="U5" s="203"/>
      <c r="V5" s="203"/>
      <c r="W5" s="203"/>
      <c r="X5" s="203"/>
      <c r="Y5" s="70"/>
      <c r="Z5" s="70"/>
      <c r="AA5" s="70" t="s">
        <v>88</v>
      </c>
      <c r="AB5" s="70"/>
      <c r="AC5" s="424" t="s">
        <v>89</v>
      </c>
      <c r="AD5" s="203"/>
      <c r="AE5" s="203"/>
      <c r="AF5" s="203"/>
      <c r="AG5" s="203"/>
      <c r="AH5" s="203"/>
      <c r="AI5" s="203"/>
    </row>
    <row r="6" spans="1:35" ht="15.75" customHeight="1">
      <c r="A6" s="3"/>
      <c r="B6" s="114"/>
      <c r="C6" s="114"/>
      <c r="D6" s="201"/>
      <c r="E6" s="201"/>
      <c r="F6" s="783" t="s">
        <v>211</v>
      </c>
      <c r="G6" s="784"/>
      <c r="H6" s="784"/>
      <c r="I6" s="784"/>
      <c r="J6" s="784"/>
      <c r="K6" s="784"/>
      <c r="L6" s="201"/>
      <c r="M6" s="3"/>
      <c r="N6" s="3"/>
      <c r="O6" s="181"/>
      <c r="P6" s="234"/>
      <c r="S6" s="203"/>
      <c r="T6" s="203"/>
      <c r="U6" s="203"/>
      <c r="V6" s="203"/>
      <c r="W6" s="203"/>
      <c r="X6" s="203"/>
      <c r="Y6" s="70"/>
      <c r="Z6" s="70"/>
      <c r="AA6" s="70"/>
      <c r="AB6" s="70"/>
      <c r="AC6" s="70"/>
      <c r="AD6" s="203"/>
      <c r="AE6" s="203"/>
      <c r="AF6" s="203"/>
      <c r="AG6" s="203"/>
      <c r="AH6" s="203"/>
      <c r="AI6" s="203"/>
    </row>
    <row r="7" spans="1:35" ht="3" customHeight="1">
      <c r="A7" s="3"/>
      <c r="B7" s="114"/>
      <c r="C7" s="114"/>
      <c r="D7" s="201"/>
      <c r="E7" s="201"/>
      <c r="F7" s="201"/>
      <c r="G7" s="201"/>
      <c r="H7" s="201"/>
      <c r="I7" s="201"/>
      <c r="J7" s="201"/>
      <c r="K7" s="201"/>
      <c r="L7" s="201"/>
      <c r="M7" s="3"/>
      <c r="N7" s="3"/>
      <c r="O7" s="181"/>
      <c r="P7" s="180"/>
      <c r="Q7" s="180"/>
      <c r="S7" s="203"/>
      <c r="T7" s="203"/>
      <c r="U7" s="203"/>
      <c r="V7" s="203"/>
      <c r="W7" s="203"/>
      <c r="X7" s="203"/>
      <c r="Y7" s="70"/>
      <c r="Z7" s="70"/>
      <c r="AA7" s="70"/>
      <c r="AB7" s="70"/>
      <c r="AC7" s="70"/>
      <c r="AD7" s="203"/>
      <c r="AE7" s="203"/>
      <c r="AF7" s="203"/>
      <c r="AG7" s="203"/>
      <c r="AH7" s="203"/>
      <c r="AI7" s="203"/>
    </row>
    <row r="8" spans="1:35" ht="18.75" customHeight="1">
      <c r="A8" s="3"/>
      <c r="B8" s="756" t="str">
        <f>+'Introducción de datos'!B118</f>
        <v>Porcentaje de hombres que tienen relaciones sexuales con hombres que se han sometido a pruebas de VIH durante el período de informe y conocen los resultados</v>
      </c>
      <c r="C8" s="756"/>
      <c r="D8" s="756"/>
      <c r="E8" s="756"/>
      <c r="F8" s="756" t="str">
        <f>+'Introducción de datos'!B120</f>
        <v>Porcentaje de personas transgénero que se han sometido a pruebas de VIH durante el período de informe y conocen los resultados</v>
      </c>
      <c r="G8" s="756"/>
      <c r="H8" s="756"/>
      <c r="I8" s="756"/>
      <c r="J8" s="756"/>
      <c r="K8" s="756"/>
      <c r="L8" s="756" t="str">
        <f>+'Introducción de datos'!B122</f>
        <v>Porcentaje de personas que viven con el VIH  que actualmente reciben tratamiento antirretroviral</v>
      </c>
      <c r="M8" s="756"/>
      <c r="N8" s="756"/>
      <c r="O8" s="756"/>
      <c r="P8" s="756"/>
      <c r="Q8" s="756"/>
      <c r="S8" s="203"/>
      <c r="T8" s="203"/>
      <c r="U8" s="203"/>
      <c r="V8" s="203"/>
      <c r="W8" s="203"/>
      <c r="X8" s="203"/>
      <c r="Y8" s="70"/>
      <c r="Z8" s="70"/>
      <c r="AA8" s="70"/>
      <c r="AB8" s="70"/>
      <c r="AC8" s="70"/>
      <c r="AD8" s="203"/>
      <c r="AE8" s="203"/>
      <c r="AF8" s="203"/>
      <c r="AG8" s="203"/>
      <c r="AH8" s="203"/>
      <c r="AI8" s="203"/>
    </row>
    <row r="9" spans="1:35" ht="18.75" customHeight="1">
      <c r="A9" s="3"/>
      <c r="B9" s="425" t="s">
        <v>213</v>
      </c>
      <c r="C9" s="751" t="s">
        <v>369</v>
      </c>
      <c r="D9" s="752"/>
      <c r="E9" s="753"/>
      <c r="F9" s="425" t="s">
        <v>213</v>
      </c>
      <c r="G9" s="751" t="s">
        <v>368</v>
      </c>
      <c r="H9" s="752"/>
      <c r="I9" s="752"/>
      <c r="J9" s="752"/>
      <c r="K9" s="753"/>
      <c r="L9" s="425" t="s">
        <v>213</v>
      </c>
      <c r="M9" s="751" t="s">
        <v>370</v>
      </c>
      <c r="N9" s="754"/>
      <c r="O9" s="754"/>
      <c r="P9" s="754"/>
      <c r="Q9" s="755"/>
      <c r="S9" s="203"/>
      <c r="T9" s="203"/>
      <c r="U9" s="203"/>
      <c r="V9" s="203"/>
      <c r="W9" s="203"/>
      <c r="X9" s="203"/>
      <c r="Y9" s="203"/>
      <c r="Z9" s="203"/>
      <c r="AA9" s="203"/>
      <c r="AB9" s="203"/>
      <c r="AC9" s="203"/>
      <c r="AD9" s="203"/>
      <c r="AE9" s="203"/>
      <c r="AF9" s="203"/>
      <c r="AG9" s="203"/>
      <c r="AH9" s="203"/>
      <c r="AI9" s="203"/>
    </row>
    <row r="10" spans="1:35" ht="18.75" customHeight="1">
      <c r="A10" s="3"/>
      <c r="B10" s="114"/>
      <c r="C10" s="114"/>
      <c r="D10" s="201"/>
      <c r="E10" s="201"/>
      <c r="F10" s="201"/>
      <c r="G10" s="201"/>
      <c r="H10" s="201"/>
      <c r="I10" s="201"/>
      <c r="J10" s="201"/>
      <c r="K10" s="201"/>
      <c r="L10" s="201"/>
      <c r="M10" s="3"/>
      <c r="N10" s="3"/>
      <c r="O10" s="181"/>
      <c r="P10" s="180"/>
      <c r="S10" s="203"/>
      <c r="T10" s="203"/>
      <c r="U10" s="203"/>
      <c r="V10" s="203"/>
      <c r="W10" s="203"/>
      <c r="X10" s="203"/>
      <c r="Y10" s="203"/>
      <c r="Z10" s="203"/>
      <c r="AA10" s="203"/>
      <c r="AB10" s="203"/>
      <c r="AC10" s="203"/>
      <c r="AD10" s="203"/>
      <c r="AE10" s="203"/>
      <c r="AF10" s="203"/>
      <c r="AG10" s="203"/>
      <c r="AH10" s="203"/>
      <c r="AI10" s="203"/>
    </row>
    <row r="11" spans="1:35" ht="18.75" customHeight="1">
      <c r="A11" s="3"/>
      <c r="B11" s="114"/>
      <c r="C11" s="114"/>
      <c r="D11" s="201"/>
      <c r="E11" s="201"/>
      <c r="F11" s="201"/>
      <c r="G11" s="201"/>
      <c r="H11" s="201"/>
      <c r="I11" s="201"/>
      <c r="J11" s="201"/>
      <c r="K11" s="201"/>
      <c r="L11" s="201"/>
      <c r="M11" s="3"/>
      <c r="N11" s="3"/>
      <c r="O11" s="181"/>
      <c r="P11" s="180"/>
      <c r="S11" s="203"/>
      <c r="T11" s="203"/>
      <c r="U11" s="203"/>
      <c r="V11" s="203"/>
      <c r="W11" s="203"/>
      <c r="X11" s="203"/>
      <c r="Y11" s="203"/>
      <c r="Z11" s="203"/>
      <c r="AA11" s="203"/>
      <c r="AB11" s="203"/>
      <c r="AC11" s="203"/>
      <c r="AD11" s="203"/>
      <c r="AE11" s="203"/>
      <c r="AF11" s="203"/>
      <c r="AG11" s="203"/>
      <c r="AH11" s="203"/>
      <c r="AI11" s="203"/>
    </row>
    <row r="12" spans="1:35" ht="18.75" customHeight="1">
      <c r="A12" s="3"/>
      <c r="B12" s="114"/>
      <c r="C12" s="114"/>
      <c r="D12" s="201"/>
      <c r="E12" s="201"/>
      <c r="F12" s="201"/>
      <c r="G12" s="201"/>
      <c r="H12" s="201"/>
      <c r="I12" s="201"/>
      <c r="J12" s="201"/>
      <c r="K12" s="201"/>
      <c r="L12" s="201"/>
      <c r="M12" s="3"/>
      <c r="N12" s="3"/>
      <c r="O12" s="181"/>
      <c r="P12" s="180"/>
      <c r="S12" s="203"/>
      <c r="T12" s="203"/>
      <c r="U12" s="203"/>
      <c r="V12" s="203"/>
      <c r="W12" s="203"/>
      <c r="X12" s="203"/>
      <c r="Y12" s="203"/>
      <c r="Z12" s="203"/>
      <c r="AA12" s="203"/>
      <c r="AB12" s="203"/>
      <c r="AC12" s="203"/>
      <c r="AD12" s="203"/>
      <c r="AE12" s="203"/>
      <c r="AF12" s="203"/>
      <c r="AG12" s="203"/>
      <c r="AH12" s="203"/>
      <c r="AI12" s="203"/>
    </row>
    <row r="13" spans="1:35" ht="18.75" customHeight="1">
      <c r="A13" s="3"/>
      <c r="B13" s="114"/>
      <c r="C13" s="114"/>
      <c r="D13" s="201"/>
      <c r="E13" s="201"/>
      <c r="F13" s="201"/>
      <c r="G13" s="201"/>
      <c r="H13" s="201"/>
      <c r="I13" s="201"/>
      <c r="J13" s="201"/>
      <c r="K13" s="201"/>
      <c r="L13" s="201"/>
      <c r="M13" s="3"/>
      <c r="N13" s="3"/>
      <c r="O13" s="181"/>
      <c r="P13" s="180"/>
      <c r="S13" s="203"/>
      <c r="T13" s="203"/>
      <c r="U13" s="203"/>
      <c r="V13" s="203"/>
      <c r="W13" s="203"/>
      <c r="X13" s="203"/>
      <c r="Y13" s="203"/>
      <c r="Z13" s="203"/>
      <c r="AA13" s="203"/>
      <c r="AB13" s="203"/>
      <c r="AC13" s="203"/>
      <c r="AD13" s="203"/>
      <c r="AE13" s="203"/>
      <c r="AF13" s="203"/>
      <c r="AG13" s="203"/>
      <c r="AH13" s="203"/>
      <c r="AI13" s="203"/>
    </row>
    <row r="14" spans="1:35" ht="18.75" customHeight="1">
      <c r="A14" s="3"/>
      <c r="B14" s="114"/>
      <c r="C14" s="114"/>
      <c r="D14" s="201"/>
      <c r="E14" s="201"/>
      <c r="F14" s="201"/>
      <c r="G14" s="201"/>
      <c r="H14" s="201"/>
      <c r="I14" s="201"/>
      <c r="J14" s="201"/>
      <c r="K14" s="201"/>
      <c r="L14" s="201"/>
      <c r="M14" s="3"/>
      <c r="N14" s="3"/>
      <c r="O14" s="181"/>
      <c r="P14" s="180"/>
      <c r="S14" s="203"/>
      <c r="T14" s="203"/>
      <c r="U14" s="203"/>
      <c r="V14" s="203"/>
      <c r="W14" s="203"/>
      <c r="X14" s="203"/>
      <c r="Y14" s="203"/>
      <c r="Z14" s="203"/>
      <c r="AA14" s="203"/>
      <c r="AB14" s="203"/>
      <c r="AC14" s="203"/>
      <c r="AD14" s="203"/>
      <c r="AE14" s="203"/>
      <c r="AF14" s="203"/>
      <c r="AG14" s="203"/>
      <c r="AH14" s="203"/>
      <c r="AI14" s="203"/>
    </row>
    <row r="15" spans="1:35" ht="18.75" customHeight="1">
      <c r="A15" s="3"/>
      <c r="B15" s="114"/>
      <c r="C15" s="114"/>
      <c r="D15" s="201"/>
      <c r="E15" s="201"/>
      <c r="F15" s="201"/>
      <c r="G15" s="201"/>
      <c r="H15" s="201"/>
      <c r="I15" s="201"/>
      <c r="J15" s="201"/>
      <c r="K15" s="201"/>
      <c r="L15" s="201"/>
      <c r="M15" s="3"/>
      <c r="N15" s="3"/>
      <c r="O15" s="181"/>
      <c r="P15" s="180"/>
      <c r="S15" s="203"/>
      <c r="T15" s="203"/>
      <c r="U15" s="203"/>
      <c r="V15" s="203"/>
      <c r="W15" s="203"/>
      <c r="X15" s="203"/>
      <c r="Y15" s="203"/>
      <c r="Z15" s="203"/>
      <c r="AA15" s="203"/>
      <c r="AB15" s="203"/>
      <c r="AC15" s="203"/>
      <c r="AD15" s="203"/>
      <c r="AE15" s="203"/>
      <c r="AF15" s="203"/>
      <c r="AG15" s="203"/>
      <c r="AH15" s="203"/>
      <c r="AI15" s="203"/>
    </row>
    <row r="16" spans="1:35" ht="18.75" customHeight="1">
      <c r="A16" s="3"/>
      <c r="B16" s="114"/>
      <c r="C16" s="114"/>
      <c r="D16" s="201"/>
      <c r="E16" s="201"/>
      <c r="F16" s="201"/>
      <c r="G16" s="201"/>
      <c r="H16" s="201"/>
      <c r="I16" s="201"/>
      <c r="J16" s="201"/>
      <c r="K16" s="201"/>
      <c r="L16" s="201"/>
      <c r="M16" s="3"/>
      <c r="N16" s="3"/>
      <c r="O16" s="181"/>
      <c r="P16" s="180"/>
      <c r="S16" s="203"/>
      <c r="T16" s="203"/>
      <c r="U16" s="203"/>
      <c r="V16" s="203"/>
      <c r="W16" s="203"/>
      <c r="X16" s="203"/>
      <c r="Y16" s="203"/>
      <c r="Z16" s="203"/>
      <c r="AA16" s="203"/>
      <c r="AB16" s="203"/>
      <c r="AC16" s="203"/>
      <c r="AD16" s="203"/>
      <c r="AE16" s="203"/>
      <c r="AF16" s="203"/>
      <c r="AG16" s="203"/>
      <c r="AH16" s="203"/>
      <c r="AI16" s="203"/>
    </row>
    <row r="17" spans="1:35" ht="17.25" customHeight="1">
      <c r="A17" s="3"/>
      <c r="B17" s="114"/>
      <c r="C17" s="114"/>
      <c r="D17" s="201"/>
      <c r="E17" s="201"/>
      <c r="F17" s="201"/>
      <c r="G17" s="201"/>
      <c r="H17" s="201"/>
      <c r="I17" s="201"/>
      <c r="J17" s="201"/>
      <c r="K17" s="201"/>
      <c r="L17" s="201"/>
      <c r="M17" s="3"/>
      <c r="N17" s="3"/>
      <c r="O17" s="181"/>
      <c r="P17" s="180"/>
      <c r="S17" s="203"/>
      <c r="T17" s="203"/>
      <c r="U17" s="203"/>
      <c r="V17" s="203"/>
      <c r="W17" s="203"/>
      <c r="X17" s="203"/>
      <c r="Y17" s="203"/>
      <c r="Z17" s="203"/>
      <c r="AA17" s="203"/>
      <c r="AB17" s="203"/>
      <c r="AC17" s="203"/>
      <c r="AD17" s="203"/>
      <c r="AE17" s="203"/>
      <c r="AF17" s="203"/>
      <c r="AG17" s="203"/>
      <c r="AH17" s="203"/>
      <c r="AI17" s="203"/>
    </row>
    <row r="18" spans="1:35" ht="6" customHeight="1">
      <c r="A18" s="3"/>
      <c r="B18" s="118"/>
      <c r="C18" s="114"/>
      <c r="D18" s="115"/>
      <c r="E18" s="771"/>
      <c r="F18" s="771"/>
      <c r="G18" s="771"/>
      <c r="H18" s="771"/>
      <c r="I18" s="771"/>
      <c r="J18" s="771"/>
      <c r="K18" s="771"/>
      <c r="L18" s="3"/>
      <c r="M18" s="3"/>
      <c r="N18" s="3"/>
      <c r="O18" s="3"/>
      <c r="P18" s="3"/>
      <c r="S18" s="203"/>
      <c r="T18" s="203"/>
      <c r="U18" s="203"/>
      <c r="V18" s="203"/>
      <c r="W18" s="203"/>
      <c r="X18" s="203"/>
      <c r="Y18" s="203"/>
      <c r="Z18" s="203"/>
      <c r="AA18" s="203"/>
      <c r="AB18" s="203"/>
      <c r="AC18" s="203"/>
      <c r="AD18" s="203"/>
      <c r="AE18" s="203"/>
      <c r="AF18" s="203"/>
      <c r="AG18" s="203"/>
      <c r="AH18" s="203"/>
      <c r="AI18" s="203"/>
    </row>
    <row r="19" spans="1:35" ht="24" customHeight="1">
      <c r="A19" s="3"/>
      <c r="B19" s="772" t="s">
        <v>212</v>
      </c>
      <c r="C19" s="772"/>
      <c r="D19" s="772"/>
      <c r="E19" s="379" t="s">
        <v>79</v>
      </c>
      <c r="F19" s="379" t="s">
        <v>206</v>
      </c>
      <c r="G19" s="778" t="s">
        <v>203</v>
      </c>
      <c r="H19" s="779"/>
      <c r="I19" s="780" t="s">
        <v>204</v>
      </c>
      <c r="J19" s="781"/>
      <c r="K19" s="433" t="s">
        <v>205</v>
      </c>
      <c r="L19" s="775" t="s">
        <v>199</v>
      </c>
      <c r="M19" s="776"/>
      <c r="N19" s="776"/>
      <c r="O19" s="776"/>
      <c r="P19" s="776"/>
      <c r="Q19" s="777"/>
      <c r="S19" s="64" t="s">
        <v>92</v>
      </c>
      <c r="T19" s="65">
        <v>0</v>
      </c>
      <c r="U19" s="66">
        <v>0.3</v>
      </c>
      <c r="V19" s="66">
        <v>0.6</v>
      </c>
      <c r="W19" s="66">
        <v>0.9</v>
      </c>
      <c r="X19" s="66">
        <v>1</v>
      </c>
      <c r="Y19" s="70"/>
      <c r="Z19" s="70"/>
      <c r="AA19" s="64" t="s">
        <v>93</v>
      </c>
      <c r="AB19" s="65">
        <v>0</v>
      </c>
      <c r="AC19" s="66">
        <v>0.2</v>
      </c>
      <c r="AD19" s="66">
        <v>0.4</v>
      </c>
      <c r="AE19" s="66">
        <v>0.6</v>
      </c>
      <c r="AF19" s="66">
        <v>0.8</v>
      </c>
      <c r="AG19" s="70"/>
      <c r="AH19" s="70"/>
      <c r="AI19" s="70"/>
    </row>
    <row r="20" spans="1:35" ht="24" customHeight="1">
      <c r="A20" s="3"/>
      <c r="B20" s="760" t="str">
        <f>+'Introducción de datos'!B118</f>
        <v>Porcentaje de hombres que tienen relaciones sexuales con hombres que se han sometido a pruebas de VIH durante el período de informe y conocen los resultados</v>
      </c>
      <c r="C20" s="760"/>
      <c r="D20" s="760"/>
      <c r="E20" s="125">
        <f ca="1">OFFSET('Introducción de datos'!$G$117,1,RIGHT('Introducción de datos'!$C$16,LEN('Introducción de datos'!$C$16)-1),1,1)</f>
        <v>0</v>
      </c>
      <c r="F20" s="125">
        <f ca="1">OFFSET('Introducción de datos'!$G$117,2,RIGHT('Introducción de datos'!$C$16,LEN('Introducción de datos'!$C$16)-1),1,1)</f>
        <v>2385</v>
      </c>
      <c r="G20" s="761">
        <f t="shared" ref="G20:G29" ca="1" si="0">+IF(ISERROR(F20/E20),0,F20/E20)</f>
        <v>0</v>
      </c>
      <c r="H20" s="762"/>
      <c r="I20" s="762"/>
      <c r="J20" s="762"/>
      <c r="K20" s="763"/>
      <c r="L20" s="769" t="s">
        <v>351</v>
      </c>
      <c r="M20" s="769"/>
      <c r="N20" s="769"/>
      <c r="O20" s="769"/>
      <c r="P20" s="769"/>
      <c r="Q20" s="769"/>
      <c r="S20" s="64" t="s">
        <v>91</v>
      </c>
      <c r="T20" s="67">
        <v>0.3</v>
      </c>
      <c r="U20" s="66">
        <v>0.6</v>
      </c>
      <c r="V20" s="66">
        <v>0.9</v>
      </c>
      <c r="W20" s="66">
        <v>1</v>
      </c>
      <c r="X20" s="66">
        <v>2</v>
      </c>
      <c r="Y20" s="70"/>
      <c r="Z20" s="70"/>
      <c r="AA20" s="64" t="s">
        <v>90</v>
      </c>
      <c r="AB20" s="67">
        <v>0.2</v>
      </c>
      <c r="AC20" s="66">
        <v>0.4</v>
      </c>
      <c r="AD20" s="66">
        <v>0.6</v>
      </c>
      <c r="AE20" s="66">
        <v>0.8</v>
      </c>
      <c r="AF20" s="66">
        <v>1</v>
      </c>
      <c r="AG20" s="70"/>
      <c r="AH20" s="70"/>
      <c r="AI20" s="70"/>
    </row>
    <row r="21" spans="1:35" ht="24" customHeight="1">
      <c r="A21" s="3"/>
      <c r="B21" s="760" t="str">
        <f>+'Introducción de datos'!B120</f>
        <v>Porcentaje de personas transgénero que se han sometido a pruebas de VIH durante el período de informe y conocen los resultados</v>
      </c>
      <c r="C21" s="760"/>
      <c r="D21" s="760"/>
      <c r="E21" s="125">
        <f ca="1">OFFSET('Introducción de datos'!$G$117,3,RIGHT('Introducción de datos'!$C$16,LEN('Introducción de datos'!$C$16)-1),1,1)</f>
        <v>0</v>
      </c>
      <c r="F21" s="125">
        <f ca="1">OFFSET('Introducción de datos'!$G$117,4,RIGHT('Introducción de datos'!$C$16,LEN('Introducción de datos'!$C$16)-1),1,1)</f>
        <v>390</v>
      </c>
      <c r="G21" s="761">
        <f t="shared" ca="1" si="0"/>
        <v>0</v>
      </c>
      <c r="H21" s="762"/>
      <c r="I21" s="762"/>
      <c r="J21" s="762"/>
      <c r="K21" s="763"/>
      <c r="L21" s="769" t="s">
        <v>353</v>
      </c>
      <c r="M21" s="769"/>
      <c r="N21" s="769"/>
      <c r="O21" s="769"/>
      <c r="P21" s="769"/>
      <c r="Q21" s="769"/>
      <c r="S21" s="68"/>
      <c r="T21" s="69" t="str">
        <f>"de "&amp;T19&amp;" a "&amp;T20</f>
        <v>de 0 a 0.3</v>
      </c>
      <c r="U21" s="69" t="str">
        <f>"de "&amp;U19&amp;" a "&amp;U20</f>
        <v>de 0.3 a 0.6</v>
      </c>
      <c r="V21" s="69" t="str">
        <f>"de "&amp;V19&amp;" a "&amp;V20</f>
        <v>de 0.6 a 0.9</v>
      </c>
      <c r="W21" s="69" t="str">
        <f>"de "&amp;W19&amp;" a "&amp;W20</f>
        <v>de 0.9 a 1</v>
      </c>
      <c r="X21" s="69" t="str">
        <f>"de "&amp;X19&amp;" a "&amp;X20</f>
        <v>de 1 a 2</v>
      </c>
      <c r="Y21" s="70"/>
      <c r="Z21" s="426" t="s">
        <v>154</v>
      </c>
      <c r="AA21" s="427" t="s">
        <v>155</v>
      </c>
      <c r="AB21" s="69" t="str">
        <f>"de "&amp;AB19&amp;" a "&amp;AB20</f>
        <v>de 0 a 0.2</v>
      </c>
      <c r="AC21" s="69" t="str">
        <f>"de "&amp;AC19&amp;" a "&amp;AC20</f>
        <v>de 0.2 a 0.4</v>
      </c>
      <c r="AD21" s="69" t="str">
        <f>"de "&amp;AD19&amp;" a "&amp;AD20</f>
        <v>de 0.4 a 0.6</v>
      </c>
      <c r="AE21" s="69" t="str">
        <f>"de "&amp;AE19&amp;" a "&amp;AE20</f>
        <v>de 0.6 a 0.8</v>
      </c>
      <c r="AF21" s="69" t="str">
        <f>"de "&amp;AF19&amp;" a "&amp;AF20</f>
        <v>de 0.8 a 1</v>
      </c>
      <c r="AG21" s="70"/>
      <c r="AH21" s="70"/>
      <c r="AI21" s="70"/>
    </row>
    <row r="22" spans="1:35" ht="24" customHeight="1">
      <c r="A22" s="3"/>
      <c r="B22" s="760" t="str">
        <f>+'Introducción de datos'!B122</f>
        <v>Porcentaje de personas que viven con el VIH  que actualmente reciben tratamiento antirretroviral</v>
      </c>
      <c r="C22" s="760"/>
      <c r="D22" s="760"/>
      <c r="E22" s="125">
        <f ca="1">OFFSET('Introducción de datos'!$G$117,5,RIGHT('Introducción de datos'!$C$16,LEN('Introducción de datos'!$C$16)-1),1,1)</f>
        <v>0</v>
      </c>
      <c r="F22" s="125">
        <f ca="1">OFFSET('Introducción de datos'!$G$117,6,RIGHT('Introducción de datos'!$C$16,LEN('Introducción de datos'!$C$16)-1),1,1)</f>
        <v>69299</v>
      </c>
      <c r="G22" s="761">
        <f t="shared" ca="1" si="0"/>
        <v>0</v>
      </c>
      <c r="H22" s="762"/>
      <c r="I22" s="762"/>
      <c r="J22" s="762"/>
      <c r="K22" s="763"/>
      <c r="L22" s="769" t="s">
        <v>352</v>
      </c>
      <c r="M22" s="769"/>
      <c r="N22" s="769"/>
      <c r="O22" s="769"/>
      <c r="P22" s="769"/>
      <c r="Q22" s="769"/>
      <c r="S22" s="68"/>
      <c r="T22" s="66" t="e">
        <f t="shared" ref="T22:W33" si="1">IF($K20&gt;T$19,IF($K20&lt;=T$20,$K20,NA()),NA())</f>
        <v>#N/A</v>
      </c>
      <c r="U22" s="66" t="e">
        <f t="shared" si="1"/>
        <v>#N/A</v>
      </c>
      <c r="V22" s="66" t="e">
        <f t="shared" si="1"/>
        <v>#N/A</v>
      </c>
      <c r="W22" s="66" t="e">
        <f t="shared" si="1"/>
        <v>#N/A</v>
      </c>
      <c r="X22" s="66" t="e">
        <f>IF($K20&gt;X$19,IF($K20&lt;=X$20,1,NA()),NA())</f>
        <v>#N/A</v>
      </c>
      <c r="Y22" s="70"/>
      <c r="Z22" s="177" t="e">
        <f>+'Información de la subvención'!#REF!</f>
        <v>#REF!</v>
      </c>
      <c r="AA22" s="66" t="e">
        <f>+IF(Z22="A1",1,IF(Z22="A2",0.8,IF(Z22="B1",0.6,IF(Z22="B2",0.4,0.2))))</f>
        <v>#REF!</v>
      </c>
      <c r="AB22" s="66" t="e">
        <f>IF($AA22&gt;AB$19,IF($AA22&lt;=AB$20,$AA22,NA()),NA())</f>
        <v>#REF!</v>
      </c>
      <c r="AC22" s="66" t="e">
        <f t="shared" ref="AC22:AF24" si="2">IF($AA22&gt;AC$19,IF($AA22&lt;=AC$20,$AA22,NA()),NA())</f>
        <v>#REF!</v>
      </c>
      <c r="AD22" s="66" t="e">
        <f t="shared" si="2"/>
        <v>#REF!</v>
      </c>
      <c r="AE22" s="66" t="e">
        <f t="shared" si="2"/>
        <v>#REF!</v>
      </c>
      <c r="AF22" s="66" t="e">
        <f t="shared" si="2"/>
        <v>#REF!</v>
      </c>
      <c r="AG22" s="70"/>
      <c r="AH22" s="70"/>
      <c r="AI22" s="70"/>
    </row>
    <row r="23" spans="1:35" ht="24" customHeight="1">
      <c r="A23" s="3"/>
      <c r="B23" s="766" t="str">
        <f>+'Introducción de datos'!B124</f>
        <v>Porcentaje de casos de TB nuevos y recaídas VIH+ en TARV durante el tratamiento para la tuberculosis</v>
      </c>
      <c r="C23" s="767"/>
      <c r="D23" s="768"/>
      <c r="E23" s="125">
        <f ca="1">OFFSET('Introducción de datos'!$G$117,7,RIGHT('Introducción de datos'!$C$16,LEN('Introducción de datos'!$C$16)-1),1,1)</f>
        <v>0</v>
      </c>
      <c r="F23" s="125">
        <f ca="1">OFFSET('Introducción de datos'!$G$117,8,RIGHT('Introducción de datos'!$C$16,LEN('Introducción de datos'!$C$16)-1),1,1)</f>
        <v>88</v>
      </c>
      <c r="G23" s="761">
        <f t="shared" ca="1" si="0"/>
        <v>0</v>
      </c>
      <c r="H23" s="762"/>
      <c r="I23" s="762"/>
      <c r="J23" s="762"/>
      <c r="K23" s="763"/>
      <c r="L23" s="769" t="s">
        <v>354</v>
      </c>
      <c r="M23" s="769"/>
      <c r="N23" s="769"/>
      <c r="O23" s="769"/>
      <c r="P23" s="769"/>
      <c r="Q23" s="769"/>
      <c r="S23" s="68"/>
      <c r="T23" s="66" t="e">
        <f t="shared" si="1"/>
        <v>#N/A</v>
      </c>
      <c r="U23" s="66" t="e">
        <f t="shared" si="1"/>
        <v>#N/A</v>
      </c>
      <c r="V23" s="66" t="e">
        <f t="shared" si="1"/>
        <v>#N/A</v>
      </c>
      <c r="W23" s="66" t="e">
        <f t="shared" si="1"/>
        <v>#N/A</v>
      </c>
      <c r="X23" s="66" t="e">
        <f>IF($K21&gt;X$19,IF($K21&lt;=X$20,1,1),NA())</f>
        <v>#N/A</v>
      </c>
      <c r="Y23" s="70"/>
      <c r="Z23" s="177" t="e">
        <f>+'Información de la subvención'!#REF!</f>
        <v>#REF!</v>
      </c>
      <c r="AA23" s="66" t="e">
        <f>+IF(Z23="A1",1,IF(Z23="A2",0.8,IF(Z23="B1",0.6,IF(Z23="B2",0.4,0.2))))</f>
        <v>#REF!</v>
      </c>
      <c r="AB23" s="66" t="e">
        <f>IF($AA23&gt;AB$19,IF($AA23&lt;=AB$20,$AA23,NA()),NA())</f>
        <v>#REF!</v>
      </c>
      <c r="AC23" s="66" t="e">
        <f t="shared" si="2"/>
        <v>#REF!</v>
      </c>
      <c r="AD23" s="66" t="e">
        <f t="shared" si="2"/>
        <v>#REF!</v>
      </c>
      <c r="AE23" s="66" t="e">
        <f t="shared" si="2"/>
        <v>#REF!</v>
      </c>
      <c r="AF23" s="66" t="e">
        <f t="shared" si="2"/>
        <v>#REF!</v>
      </c>
      <c r="AG23" s="70"/>
      <c r="AH23" s="70"/>
      <c r="AI23" s="70"/>
    </row>
    <row r="24" spans="1:35" ht="24" customHeight="1">
      <c r="A24" s="3"/>
      <c r="B24" s="760" t="str">
        <f>+'Introducción de datos'!B126</f>
        <v>Porcentaje de nuevas personas diagnosticadas con VIH que son vinculadas a la atención (vinculación individual)</v>
      </c>
      <c r="C24" s="760"/>
      <c r="D24" s="760"/>
      <c r="E24" s="125">
        <f ca="1">OFFSET('Introducción de datos'!$G$117,9,RIGHT('Introducción de datos'!$C$16,LEN('Introducción de datos'!$C$16)-1),1,1)</f>
        <v>0</v>
      </c>
      <c r="F24" s="125">
        <f ca="1">OFFSET('Introducción de datos'!$G$117,10,RIGHT('Introducción de datos'!$C$16,LEN('Introducción de datos'!$C$16)-1),1,1)</f>
        <v>3376</v>
      </c>
      <c r="G24" s="761">
        <f t="shared" ca="1" si="0"/>
        <v>0</v>
      </c>
      <c r="H24" s="762"/>
      <c r="I24" s="762"/>
      <c r="J24" s="762"/>
      <c r="K24" s="763"/>
      <c r="L24" s="769" t="s">
        <v>355</v>
      </c>
      <c r="M24" s="769"/>
      <c r="N24" s="769"/>
      <c r="O24" s="769"/>
      <c r="P24" s="769"/>
      <c r="Q24" s="769"/>
      <c r="S24" s="68"/>
      <c r="T24" s="66" t="e">
        <f t="shared" si="1"/>
        <v>#N/A</v>
      </c>
      <c r="U24" s="66" t="e">
        <f t="shared" si="1"/>
        <v>#N/A</v>
      </c>
      <c r="V24" s="66" t="e">
        <f t="shared" si="1"/>
        <v>#N/A</v>
      </c>
      <c r="W24" s="66" t="e">
        <f t="shared" si="1"/>
        <v>#N/A</v>
      </c>
      <c r="X24" s="66" t="e">
        <f t="shared" ref="X24:X33" si="3">IF($K22&gt;X$19,IF($K22&lt;=X$20,1,NA()),NA())</f>
        <v>#N/A</v>
      </c>
      <c r="Y24" s="70"/>
      <c r="Z24" s="177" t="e">
        <f>+'Información de la subvención'!#REF!</f>
        <v>#REF!</v>
      </c>
      <c r="AA24" s="66" t="e">
        <f>+IF(Z24="A1",1,IF(Z24="A2",0.8,IF(Z24="B1",0.6,IF(Z24="B2",0.4,0.2))))</f>
        <v>#REF!</v>
      </c>
      <c r="AB24" s="66" t="e">
        <f>IF($AA24&gt;AB$19,IF($AA24&lt;=AB$20,$AA24,NA()),NA())</f>
        <v>#REF!</v>
      </c>
      <c r="AC24" s="66" t="e">
        <f t="shared" si="2"/>
        <v>#REF!</v>
      </c>
      <c r="AD24" s="66" t="e">
        <f t="shared" si="2"/>
        <v>#REF!</v>
      </c>
      <c r="AE24" s="66" t="e">
        <f t="shared" si="2"/>
        <v>#REF!</v>
      </c>
      <c r="AF24" s="66" t="e">
        <f t="shared" si="2"/>
        <v>#REF!</v>
      </c>
      <c r="AG24" s="70"/>
      <c r="AH24" s="70"/>
      <c r="AI24" s="70"/>
    </row>
    <row r="25" spans="1:35" ht="24" customHeight="1">
      <c r="A25" s="3"/>
      <c r="B25" s="760" t="str">
        <f>+'Introducción de datos'!B128</f>
        <v>Porcentaje de HSH y MT que se han sometido a pruebas de VIH durante el período de informe y conocen los resultados en las BMU por regiones</v>
      </c>
      <c r="C25" s="760"/>
      <c r="D25" s="760"/>
      <c r="E25" s="125">
        <f ca="1">OFFSET('Introducción de datos'!$G$117,11,RIGHT('Introducción de datos'!$C$16,LEN('Introducción de datos'!$C$16)-1),1,1)</f>
        <v>0</v>
      </c>
      <c r="F25" s="125">
        <f ca="1">OFFSET('Introducción de datos'!$G$117,12,RIGHT('Introducción de datos'!$C$16,LEN('Introducción de datos'!$C$16)-1),1,1)</f>
        <v>1112</v>
      </c>
      <c r="G25" s="761">
        <f t="shared" ca="1" si="0"/>
        <v>0</v>
      </c>
      <c r="H25" s="762"/>
      <c r="I25" s="762"/>
      <c r="J25" s="762"/>
      <c r="K25" s="763"/>
      <c r="L25" s="769" t="s">
        <v>356</v>
      </c>
      <c r="M25" s="769"/>
      <c r="N25" s="769"/>
      <c r="O25" s="769"/>
      <c r="P25" s="769"/>
      <c r="Q25" s="769"/>
      <c r="S25" s="68"/>
      <c r="T25" s="66" t="e">
        <f t="shared" si="1"/>
        <v>#N/A</v>
      </c>
      <c r="U25" s="66" t="e">
        <f t="shared" si="1"/>
        <v>#N/A</v>
      </c>
      <c r="V25" s="66" t="e">
        <f t="shared" si="1"/>
        <v>#N/A</v>
      </c>
      <c r="W25" s="66" t="e">
        <f t="shared" si="1"/>
        <v>#N/A</v>
      </c>
      <c r="X25" s="66" t="e">
        <f t="shared" si="3"/>
        <v>#N/A</v>
      </c>
      <c r="Y25" s="70"/>
      <c r="Z25" s="70"/>
      <c r="AA25" s="70"/>
      <c r="AB25" s="70"/>
      <c r="AC25" s="70"/>
      <c r="AD25" s="70"/>
      <c r="AE25" s="70"/>
      <c r="AF25" s="70"/>
      <c r="AG25" s="70"/>
      <c r="AH25" s="70"/>
      <c r="AI25" s="70"/>
    </row>
    <row r="26" spans="1:35" ht="24" customHeight="1">
      <c r="A26" s="3"/>
      <c r="B26" s="760" t="str">
        <f>+'Introducción de datos'!B130</f>
        <v>Porcentaje de PVV que reciben TPTB</v>
      </c>
      <c r="C26" s="760"/>
      <c r="D26" s="760"/>
      <c r="E26" s="125">
        <f ca="1">OFFSET('Introducción de datos'!$G$117,13,RIGHT('Introducción de datos'!$C$16,LEN('Introducción de datos'!$C$16)-1),1,1)</f>
        <v>0</v>
      </c>
      <c r="F26" s="125">
        <f ca="1">OFFSET('Introducción de datos'!$G$117,14,RIGHT('Introducción de datos'!$C$16,LEN('Introducción de datos'!$C$16)-1),1,1)</f>
        <v>918</v>
      </c>
      <c r="G26" s="761">
        <f t="shared" ca="1" si="0"/>
        <v>0</v>
      </c>
      <c r="H26" s="762"/>
      <c r="I26" s="762"/>
      <c r="J26" s="762"/>
      <c r="K26" s="763"/>
      <c r="L26" s="769" t="s">
        <v>359</v>
      </c>
      <c r="M26" s="769"/>
      <c r="N26" s="769"/>
      <c r="O26" s="769"/>
      <c r="P26" s="769"/>
      <c r="Q26" s="769"/>
      <c r="S26" s="68"/>
      <c r="T26" s="66" t="e">
        <f t="shared" si="1"/>
        <v>#N/A</v>
      </c>
      <c r="U26" s="66" t="e">
        <f t="shared" si="1"/>
        <v>#N/A</v>
      </c>
      <c r="V26" s="66" t="e">
        <f t="shared" si="1"/>
        <v>#N/A</v>
      </c>
      <c r="W26" s="66" t="e">
        <f t="shared" si="1"/>
        <v>#N/A</v>
      </c>
      <c r="X26" s="66" t="e">
        <f t="shared" si="3"/>
        <v>#N/A</v>
      </c>
      <c r="Y26" s="70"/>
      <c r="Z26" s="70"/>
      <c r="AA26" s="70"/>
      <c r="AB26" s="70"/>
      <c r="AC26" s="70"/>
      <c r="AD26" s="70"/>
      <c r="AE26" s="70"/>
      <c r="AF26" s="70"/>
      <c r="AG26" s="70"/>
      <c r="AH26" s="70"/>
      <c r="AI26" s="70"/>
    </row>
    <row r="27" spans="1:35" ht="24" customHeight="1">
      <c r="A27" s="3"/>
      <c r="B27" s="760" t="str">
        <f>+'Introducción de datos'!B132</f>
        <v xml:space="preserve">Porcentaje de TB/VIH con éxito de tratamiento </v>
      </c>
      <c r="C27" s="760"/>
      <c r="D27" s="760"/>
      <c r="E27" s="125">
        <f ca="1">OFFSET('Introducción de datos'!$G$117,15,RIGHT('Introducción de datos'!$C$16,LEN('Introducción de datos'!$C$16)-1),1,1)</f>
        <v>0</v>
      </c>
      <c r="F27" s="125">
        <f ca="1">OFFSET('Introducción de datos'!$G$117,16,RIGHT('Introducción de datos'!$C$16,LEN('Introducción de datos'!$C$16)-1),1,1)</f>
        <v>23</v>
      </c>
      <c r="G27" s="761">
        <f t="shared" ca="1" si="0"/>
        <v>0</v>
      </c>
      <c r="H27" s="762"/>
      <c r="I27" s="762"/>
      <c r="J27" s="762"/>
      <c r="K27" s="763"/>
      <c r="L27" s="769" t="s">
        <v>357</v>
      </c>
      <c r="M27" s="769"/>
      <c r="N27" s="769"/>
      <c r="O27" s="769"/>
      <c r="P27" s="769"/>
      <c r="Q27" s="769"/>
      <c r="S27" s="68"/>
      <c r="T27" s="66" t="e">
        <f t="shared" si="1"/>
        <v>#N/A</v>
      </c>
      <c r="U27" s="66" t="e">
        <f t="shared" si="1"/>
        <v>#N/A</v>
      </c>
      <c r="V27" s="66" t="e">
        <f t="shared" si="1"/>
        <v>#N/A</v>
      </c>
      <c r="W27" s="66" t="e">
        <f t="shared" si="1"/>
        <v>#N/A</v>
      </c>
      <c r="X27" s="66" t="e">
        <f t="shared" si="3"/>
        <v>#N/A</v>
      </c>
      <c r="Y27" s="70"/>
      <c r="Z27" s="70"/>
      <c r="AA27" s="70"/>
      <c r="AB27" s="70"/>
      <c r="AC27" s="70"/>
      <c r="AD27" s="70"/>
      <c r="AE27" s="70"/>
      <c r="AF27" s="70"/>
      <c r="AG27" s="70"/>
      <c r="AH27" s="70"/>
      <c r="AI27" s="70"/>
    </row>
    <row r="28" spans="1:35" ht="24" customHeight="1">
      <c r="A28" s="3"/>
      <c r="B28" s="760" t="str">
        <f>+'Introducción de datos'!B134</f>
        <v>Porcentaje de HSH/MT tamizados por MCC según metas acordadas</v>
      </c>
      <c r="C28" s="760"/>
      <c r="D28" s="760"/>
      <c r="E28" s="125">
        <f ca="1">OFFSET('Introducción de datos'!$G$117,17,RIGHT('Introducción de datos'!$C$16,LEN('Introducción de datos'!$C$16)-1),1,1)</f>
        <v>0</v>
      </c>
      <c r="F28" s="125">
        <f ca="1">OFFSET('Introducción de datos'!$G$117,18,RIGHT('Introducción de datos'!$C$16,LEN('Introducción de datos'!$C$16)-1),1,1)</f>
        <v>92</v>
      </c>
      <c r="G28" s="761">
        <f t="shared" ca="1" si="0"/>
        <v>0</v>
      </c>
      <c r="H28" s="762"/>
      <c r="I28" s="762"/>
      <c r="J28" s="762"/>
      <c r="K28" s="763"/>
      <c r="L28" s="769" t="s">
        <v>358</v>
      </c>
      <c r="M28" s="769"/>
      <c r="N28" s="769"/>
      <c r="O28" s="769"/>
      <c r="P28" s="769"/>
      <c r="Q28" s="769"/>
      <c r="S28" s="68"/>
      <c r="T28" s="66" t="e">
        <f t="shared" si="1"/>
        <v>#N/A</v>
      </c>
      <c r="U28" s="66" t="e">
        <f t="shared" si="1"/>
        <v>#N/A</v>
      </c>
      <c r="V28" s="66" t="e">
        <f t="shared" si="1"/>
        <v>#N/A</v>
      </c>
      <c r="W28" s="66" t="e">
        <f t="shared" si="1"/>
        <v>#N/A</v>
      </c>
      <c r="X28" s="66" t="e">
        <f t="shared" si="3"/>
        <v>#N/A</v>
      </c>
      <c r="Y28" s="70"/>
      <c r="Z28" s="70"/>
      <c r="AA28" s="70"/>
      <c r="AB28" s="70"/>
      <c r="AC28" s="70"/>
      <c r="AD28" s="70"/>
      <c r="AE28" s="70"/>
      <c r="AF28" s="70"/>
      <c r="AG28" s="70"/>
      <c r="AH28" s="70"/>
      <c r="AI28" s="70"/>
    </row>
    <row r="29" spans="1:35" ht="29.25" customHeight="1">
      <c r="A29" s="3"/>
      <c r="B29" s="766" t="str">
        <f>+'Introducción de datos'!B136</f>
        <v>Porcentaje de PVV que inicia TAR por MCC según metas acordadas</v>
      </c>
      <c r="C29" s="767"/>
      <c r="D29" s="768"/>
      <c r="E29" s="125">
        <f ca="1">OFFSET('Introducción de datos'!$G$117,19,RIGHT('Introducción de datos'!$C$16,LEN('Introducción de datos'!$C$16)-1),1,1)</f>
        <v>0</v>
      </c>
      <c r="F29" s="125">
        <f ca="1">OFFSET('Introducción de datos'!$G$117,20,RIGHT('Introducción de datos'!$C$16,LEN('Introducción de datos'!$C$16)-1),1,1)</f>
        <v>4</v>
      </c>
      <c r="G29" s="761">
        <f t="shared" ca="1" si="0"/>
        <v>0</v>
      </c>
      <c r="H29" s="762"/>
      <c r="I29" s="762"/>
      <c r="J29" s="762"/>
      <c r="K29" s="763"/>
      <c r="L29" s="769"/>
      <c r="M29" s="769"/>
      <c r="N29" s="769"/>
      <c r="O29" s="769"/>
      <c r="P29" s="769"/>
      <c r="Q29" s="769"/>
      <c r="S29" s="68"/>
      <c r="T29" s="66" t="e">
        <f t="shared" si="1"/>
        <v>#N/A</v>
      </c>
      <c r="U29" s="66" t="e">
        <f t="shared" si="1"/>
        <v>#N/A</v>
      </c>
      <c r="V29" s="66" t="e">
        <f t="shared" si="1"/>
        <v>#N/A</v>
      </c>
      <c r="W29" s="66" t="e">
        <f t="shared" si="1"/>
        <v>#N/A</v>
      </c>
      <c r="X29" s="66" t="e">
        <f t="shared" si="3"/>
        <v>#N/A</v>
      </c>
      <c r="Y29" s="70"/>
      <c r="Z29" s="70"/>
      <c r="AA29" s="70"/>
      <c r="AB29" s="70"/>
      <c r="AC29" s="70"/>
      <c r="AD29" s="70"/>
      <c r="AE29" s="70"/>
      <c r="AF29" s="70"/>
      <c r="AG29" s="70"/>
      <c r="AH29" s="70"/>
      <c r="AI29" s="70"/>
    </row>
    <row r="30" spans="1:35" ht="22.5" customHeight="1">
      <c r="A30" s="3"/>
      <c r="B30" s="765"/>
      <c r="C30" s="765"/>
      <c r="D30" s="765"/>
      <c r="E30" s="765"/>
      <c r="F30" s="764"/>
      <c r="G30" s="764"/>
      <c r="H30" s="764"/>
      <c r="I30" s="764"/>
      <c r="J30" s="764"/>
      <c r="K30" s="764"/>
      <c r="L30" s="770"/>
      <c r="M30" s="770"/>
      <c r="N30" s="770"/>
      <c r="O30" s="770"/>
      <c r="P30" s="770"/>
      <c r="S30" s="68"/>
      <c r="T30" s="66" t="e">
        <f t="shared" si="1"/>
        <v>#N/A</v>
      </c>
      <c r="U30" s="66" t="e">
        <f t="shared" si="1"/>
        <v>#N/A</v>
      </c>
      <c r="V30" s="66" t="e">
        <f t="shared" si="1"/>
        <v>#N/A</v>
      </c>
      <c r="W30" s="66" t="e">
        <f t="shared" si="1"/>
        <v>#N/A</v>
      </c>
      <c r="X30" s="66" t="e">
        <f t="shared" si="3"/>
        <v>#N/A</v>
      </c>
      <c r="Y30" s="70"/>
      <c r="Z30" s="70"/>
      <c r="AA30" s="70"/>
      <c r="AB30" s="70"/>
      <c r="AC30" s="70"/>
      <c r="AD30" s="70"/>
      <c r="AE30" s="70"/>
      <c r="AF30" s="70"/>
      <c r="AG30" s="70"/>
      <c r="AH30" s="70"/>
      <c r="AI30" s="70"/>
    </row>
    <row r="31" spans="1:35" ht="22.5" customHeight="1">
      <c r="A31" s="3"/>
      <c r="B31" s="774"/>
      <c r="C31" s="774"/>
      <c r="D31" s="774"/>
      <c r="E31" s="759"/>
      <c r="F31" s="757"/>
      <c r="G31" s="758"/>
      <c r="H31" s="758"/>
      <c r="I31" s="758"/>
      <c r="J31" s="758"/>
      <c r="K31" s="759"/>
      <c r="L31" s="757"/>
      <c r="M31" s="758"/>
      <c r="N31" s="758"/>
      <c r="O31" s="758"/>
      <c r="P31" s="758"/>
      <c r="S31" s="68"/>
      <c r="T31" s="66" t="e">
        <f t="shared" si="1"/>
        <v>#N/A</v>
      </c>
      <c r="U31" s="66" t="e">
        <f t="shared" si="1"/>
        <v>#N/A</v>
      </c>
      <c r="V31" s="66" t="e">
        <f t="shared" si="1"/>
        <v>#N/A</v>
      </c>
      <c r="W31" s="66" t="e">
        <f t="shared" si="1"/>
        <v>#N/A</v>
      </c>
      <c r="X31" s="66" t="e">
        <f t="shared" si="3"/>
        <v>#N/A</v>
      </c>
      <c r="Y31" s="70"/>
      <c r="Z31" s="70"/>
      <c r="AA31" s="70"/>
      <c r="AB31" s="70"/>
      <c r="AC31" s="70"/>
      <c r="AD31" s="70"/>
      <c r="AE31" s="70"/>
      <c r="AF31" s="70"/>
      <c r="AG31" s="70"/>
      <c r="AH31" s="70"/>
      <c r="AI31" s="70"/>
    </row>
    <row r="32" spans="1:35">
      <c r="A32" s="3"/>
      <c r="B32" s="204"/>
      <c r="C32" s="204"/>
      <c r="D32" s="204"/>
      <c r="E32" s="204"/>
      <c r="F32" s="204"/>
      <c r="G32" s="204"/>
      <c r="H32" s="205"/>
      <c r="I32" s="204"/>
      <c r="J32" s="204"/>
      <c r="K32" s="204"/>
      <c r="L32" s="204"/>
      <c r="M32" s="204"/>
      <c r="N32" s="204"/>
      <c r="O32" s="204"/>
      <c r="P32" s="204"/>
      <c r="S32" s="68"/>
      <c r="T32" s="66" t="e">
        <f t="shared" si="1"/>
        <v>#N/A</v>
      </c>
      <c r="U32" s="66" t="e">
        <f t="shared" si="1"/>
        <v>#N/A</v>
      </c>
      <c r="V32" s="66" t="e">
        <f t="shared" si="1"/>
        <v>#N/A</v>
      </c>
      <c r="W32" s="66" t="e">
        <f t="shared" si="1"/>
        <v>#N/A</v>
      </c>
      <c r="X32" s="66" t="e">
        <f t="shared" si="3"/>
        <v>#N/A</v>
      </c>
      <c r="Y32" s="70"/>
      <c r="Z32" s="70"/>
      <c r="AA32" s="70"/>
      <c r="AB32" s="70"/>
      <c r="AC32" s="70"/>
      <c r="AD32" s="70"/>
      <c r="AE32" s="70"/>
      <c r="AF32" s="70"/>
      <c r="AG32" s="70"/>
      <c r="AH32" s="70"/>
      <c r="AI32" s="70"/>
    </row>
    <row r="33" spans="1:35">
      <c r="A33" s="3"/>
      <c r="B33" s="773"/>
      <c r="C33" s="773"/>
      <c r="D33" s="773"/>
      <c r="E33" s="773"/>
      <c r="F33" s="773"/>
      <c r="G33" s="773"/>
      <c r="H33" s="773"/>
      <c r="I33" s="773"/>
      <c r="J33" s="773"/>
      <c r="K33" s="773"/>
      <c r="L33" s="204"/>
      <c r="M33" s="204"/>
      <c r="N33" s="204"/>
      <c r="O33" s="204"/>
      <c r="P33" s="204"/>
      <c r="S33" s="68"/>
      <c r="T33" s="66" t="e">
        <f t="shared" si="1"/>
        <v>#N/A</v>
      </c>
      <c r="U33" s="66" t="e">
        <f t="shared" si="1"/>
        <v>#N/A</v>
      </c>
      <c r="V33" s="66" t="e">
        <f t="shared" si="1"/>
        <v>#N/A</v>
      </c>
      <c r="W33" s="66" t="e">
        <f t="shared" si="1"/>
        <v>#N/A</v>
      </c>
      <c r="X33" s="66" t="e">
        <f t="shared" si="3"/>
        <v>#N/A</v>
      </c>
      <c r="Y33" s="70"/>
      <c r="Z33" s="70"/>
      <c r="AA33" s="70"/>
      <c r="AB33" s="70"/>
      <c r="AC33" s="70"/>
      <c r="AD33" s="70"/>
      <c r="AE33" s="70"/>
      <c r="AF33" s="70"/>
      <c r="AG33" s="70"/>
      <c r="AH33" s="70"/>
      <c r="AI33" s="70"/>
    </row>
    <row r="34" spans="1:35">
      <c r="A34" s="3"/>
      <c r="B34" s="773"/>
      <c r="C34" s="773"/>
      <c r="D34" s="773"/>
      <c r="E34" s="773"/>
      <c r="F34" s="773"/>
      <c r="G34" s="773"/>
      <c r="H34" s="773"/>
      <c r="I34" s="773"/>
      <c r="J34" s="773"/>
      <c r="K34" s="773"/>
      <c r="L34" s="204"/>
      <c r="M34" s="204"/>
      <c r="N34" s="204"/>
      <c r="O34" s="204"/>
      <c r="P34" s="204"/>
      <c r="S34" s="70"/>
      <c r="T34" s="70"/>
      <c r="U34" s="70"/>
      <c r="V34" s="70"/>
      <c r="W34" s="70"/>
      <c r="X34" s="70"/>
      <c r="Y34" s="70"/>
      <c r="Z34" s="70"/>
      <c r="AA34" s="70"/>
      <c r="AB34" s="70"/>
      <c r="AC34" s="70"/>
      <c r="AD34" s="70"/>
      <c r="AE34" s="70"/>
      <c r="AF34" s="70"/>
      <c r="AG34" s="70"/>
      <c r="AH34" s="70"/>
      <c r="AI34" s="70"/>
    </row>
    <row r="35" spans="1:35">
      <c r="A35" s="3"/>
      <c r="B35" s="3"/>
      <c r="C35" s="3"/>
      <c r="D35" s="3"/>
      <c r="E35" s="3"/>
      <c r="F35" s="3"/>
      <c r="G35" s="3"/>
      <c r="H35" s="3"/>
      <c r="I35" s="93"/>
      <c r="J35" s="93"/>
      <c r="K35" s="93"/>
      <c r="L35" s="3"/>
      <c r="M35" s="3"/>
      <c r="N35" s="3"/>
      <c r="O35" s="3"/>
      <c r="P35" s="3"/>
      <c r="S35" s="70"/>
      <c r="T35" s="70"/>
      <c r="U35" s="70"/>
      <c r="V35" s="70"/>
      <c r="W35" s="70"/>
      <c r="X35" s="70"/>
      <c r="Y35" s="70"/>
      <c r="Z35" s="70"/>
      <c r="AA35" s="70"/>
      <c r="AB35" s="70"/>
      <c r="AC35" s="70"/>
      <c r="AD35" s="70"/>
      <c r="AE35" s="70"/>
      <c r="AF35" s="70"/>
      <c r="AG35" s="70"/>
      <c r="AH35" s="70"/>
      <c r="AI35" s="70"/>
    </row>
    <row r="36" spans="1:35">
      <c r="A36" s="3"/>
      <c r="B36" s="3"/>
      <c r="C36" s="3"/>
      <c r="D36" s="3"/>
      <c r="E36" s="3"/>
      <c r="F36" s="3"/>
      <c r="G36" s="3"/>
      <c r="H36" s="3"/>
      <c r="I36" s="126"/>
      <c r="J36" s="127"/>
      <c r="K36" s="127"/>
      <c r="L36" s="3"/>
      <c r="M36" s="3"/>
      <c r="N36" s="3"/>
      <c r="O36" s="3"/>
      <c r="P36" s="3"/>
      <c r="S36" s="70"/>
      <c r="T36" s="70"/>
      <c r="U36" s="70"/>
      <c r="V36" s="70"/>
      <c r="W36" s="70"/>
      <c r="X36" s="70"/>
      <c r="Y36" s="70"/>
      <c r="Z36" s="70"/>
      <c r="AA36" s="70"/>
      <c r="AB36" s="70"/>
      <c r="AC36" s="70"/>
      <c r="AD36" s="70"/>
      <c r="AE36" s="70"/>
      <c r="AF36" s="70"/>
      <c r="AG36" s="70"/>
      <c r="AH36" s="70"/>
      <c r="AI36" s="70"/>
    </row>
    <row r="37" spans="1:35">
      <c r="A37" s="3"/>
      <c r="B37" s="3"/>
      <c r="C37" s="3"/>
      <c r="D37" s="3"/>
      <c r="E37" s="3"/>
      <c r="F37" s="3"/>
      <c r="G37" s="3"/>
      <c r="H37" s="3"/>
      <c r="I37" s="128"/>
      <c r="J37" s="129"/>
      <c r="K37" s="95"/>
      <c r="L37" s="3"/>
      <c r="M37" s="3"/>
      <c r="N37" s="3"/>
      <c r="O37" s="3"/>
      <c r="P37" s="3"/>
      <c r="S37" s="70"/>
      <c r="T37" s="70"/>
      <c r="U37" s="70"/>
      <c r="V37" s="70"/>
      <c r="W37" s="70"/>
      <c r="X37" s="70"/>
      <c r="Y37" s="70"/>
      <c r="Z37" s="70"/>
      <c r="AA37" s="70"/>
      <c r="AB37" s="70"/>
      <c r="AC37" s="70"/>
      <c r="AD37" s="70"/>
      <c r="AE37" s="70"/>
      <c r="AF37" s="70"/>
      <c r="AG37" s="70"/>
      <c r="AH37" s="70"/>
      <c r="AI37" s="70"/>
    </row>
    <row r="38" spans="1:35">
      <c r="A38" s="3"/>
      <c r="B38" s="3"/>
      <c r="C38" s="3"/>
      <c r="D38" s="3"/>
      <c r="E38" s="3"/>
      <c r="F38" s="3"/>
      <c r="G38" s="3"/>
      <c r="H38" s="3"/>
      <c r="I38" s="130"/>
      <c r="J38" s="129"/>
      <c r="K38" s="95"/>
      <c r="L38" s="3"/>
      <c r="M38" s="3"/>
      <c r="N38" s="3"/>
      <c r="O38" s="3"/>
      <c r="P38" s="3"/>
      <c r="S38" s="70"/>
      <c r="T38" s="70"/>
      <c r="U38" s="70"/>
      <c r="V38" s="70"/>
      <c r="W38" s="70"/>
      <c r="X38" s="70"/>
      <c r="Y38" s="70"/>
      <c r="Z38" s="70"/>
      <c r="AA38" s="70"/>
      <c r="AB38" s="70"/>
      <c r="AC38" s="70"/>
      <c r="AD38" s="70"/>
      <c r="AE38" s="70"/>
      <c r="AF38" s="70"/>
      <c r="AG38" s="70"/>
      <c r="AH38" s="70"/>
      <c r="AI38" s="70"/>
    </row>
    <row r="39" spans="1:35">
      <c r="A39" s="3"/>
      <c r="B39" s="3"/>
      <c r="C39" s="3"/>
      <c r="D39" s="3"/>
      <c r="E39" s="3"/>
      <c r="F39" s="3"/>
      <c r="G39" s="3"/>
      <c r="H39" s="3"/>
      <c r="I39" s="128"/>
      <c r="J39" s="129"/>
      <c r="K39" s="95"/>
      <c r="L39" s="3"/>
      <c r="M39" s="3"/>
      <c r="N39" s="3"/>
      <c r="O39" s="3"/>
      <c r="P39" s="3"/>
      <c r="S39" s="70"/>
      <c r="T39" s="70"/>
      <c r="U39" s="70"/>
      <c r="V39" s="70"/>
      <c r="W39" s="70"/>
      <c r="X39" s="70"/>
      <c r="Y39" s="70"/>
      <c r="Z39" s="70"/>
      <c r="AA39" s="70"/>
      <c r="AB39" s="70"/>
      <c r="AC39" s="70"/>
      <c r="AD39" s="70"/>
      <c r="AE39" s="70"/>
      <c r="AF39" s="70"/>
      <c r="AG39" s="70"/>
      <c r="AH39" s="70"/>
      <c r="AI39" s="70"/>
    </row>
    <row r="40" spans="1:35">
      <c r="A40" s="3"/>
      <c r="B40" s="3"/>
      <c r="C40" s="3"/>
      <c r="D40" s="3"/>
      <c r="E40" s="3"/>
      <c r="F40" s="3"/>
      <c r="G40" s="3"/>
      <c r="H40" s="3"/>
      <c r="I40" s="3"/>
      <c r="J40" s="3"/>
      <c r="K40" s="3"/>
      <c r="L40" s="3"/>
      <c r="M40" s="3"/>
      <c r="N40" s="3"/>
      <c r="O40" s="3"/>
      <c r="P40" s="3"/>
      <c r="S40" s="70"/>
      <c r="T40" s="70"/>
      <c r="U40" s="70"/>
      <c r="V40" s="70"/>
      <c r="W40" s="70"/>
      <c r="X40" s="70"/>
      <c r="Y40" s="70"/>
      <c r="Z40" s="70"/>
      <c r="AA40" s="70"/>
      <c r="AB40" s="70"/>
      <c r="AC40" s="70"/>
      <c r="AD40" s="70"/>
      <c r="AE40" s="70"/>
      <c r="AF40" s="70"/>
      <c r="AG40" s="70"/>
      <c r="AH40" s="70"/>
      <c r="AI40" s="70"/>
    </row>
    <row r="41" spans="1:35">
      <c r="A41" s="3"/>
      <c r="B41" s="3"/>
      <c r="C41" s="3"/>
      <c r="D41" s="3"/>
      <c r="E41" s="3"/>
      <c r="F41" s="3"/>
      <c r="G41" s="3"/>
      <c r="H41" s="3"/>
      <c r="I41" s="3"/>
      <c r="J41" s="3"/>
      <c r="K41" s="3"/>
      <c r="L41" s="3"/>
      <c r="M41" s="3"/>
      <c r="N41" s="3"/>
      <c r="O41" s="3"/>
      <c r="P41" s="3"/>
      <c r="S41" s="70"/>
      <c r="T41" s="70"/>
      <c r="U41" s="70"/>
      <c r="V41" s="70"/>
      <c r="W41" s="70"/>
      <c r="X41" s="70"/>
      <c r="Y41" s="70"/>
      <c r="Z41" s="70"/>
      <c r="AA41" s="70"/>
      <c r="AB41" s="70"/>
      <c r="AC41" s="70"/>
      <c r="AD41" s="70"/>
      <c r="AE41" s="70"/>
      <c r="AF41" s="70"/>
      <c r="AG41" s="70"/>
      <c r="AH41" s="70"/>
      <c r="AI41" s="70"/>
    </row>
    <row r="42" spans="1:35">
      <c r="A42" s="3"/>
      <c r="B42" s="3"/>
      <c r="C42" s="3"/>
      <c r="D42" s="3"/>
      <c r="E42" s="3"/>
      <c r="F42" s="3"/>
      <c r="G42" s="3"/>
      <c r="H42" s="3"/>
      <c r="I42" s="3"/>
      <c r="J42" s="3"/>
      <c r="K42" s="3"/>
      <c r="L42" s="3"/>
      <c r="M42" s="3"/>
      <c r="N42" s="3"/>
      <c r="O42" s="3"/>
      <c r="P42" s="3"/>
      <c r="S42" s="63"/>
      <c r="T42" s="63"/>
      <c r="U42" s="63"/>
      <c r="V42" s="63"/>
      <c r="W42" s="63"/>
      <c r="X42" s="63"/>
      <c r="Y42" s="63"/>
      <c r="Z42" s="63"/>
      <c r="AA42" s="63"/>
      <c r="AB42" s="63"/>
    </row>
    <row r="43" spans="1:35">
      <c r="S43" s="63"/>
      <c r="T43" s="63"/>
      <c r="U43" s="63"/>
      <c r="V43" s="63"/>
      <c r="W43" s="63"/>
      <c r="X43" s="63"/>
      <c r="Y43" s="63"/>
      <c r="Z43" s="63"/>
      <c r="AA43" s="63"/>
      <c r="AB43" s="63"/>
    </row>
    <row r="44" spans="1:35">
      <c r="S44" s="63"/>
      <c r="T44" s="63"/>
      <c r="U44" s="63"/>
      <c r="V44" s="63"/>
      <c r="W44" s="63"/>
      <c r="X44" s="63"/>
      <c r="Y44" s="63"/>
      <c r="Z44" s="63"/>
      <c r="AA44" s="63"/>
      <c r="AB44" s="63"/>
    </row>
    <row r="45" spans="1:35">
      <c r="S45" s="63"/>
      <c r="T45" s="63"/>
      <c r="U45" s="63"/>
      <c r="V45" s="63"/>
      <c r="W45" s="63"/>
      <c r="X45" s="63"/>
      <c r="Y45" s="63"/>
      <c r="Z45" s="63"/>
      <c r="AA45" s="63"/>
      <c r="AB45" s="63"/>
    </row>
    <row r="46" spans="1:35">
      <c r="S46" s="63"/>
      <c r="T46" s="63"/>
      <c r="U46" s="63"/>
      <c r="V46" s="63"/>
      <c r="W46" s="63"/>
      <c r="X46" s="63"/>
      <c r="Y46" s="63"/>
      <c r="Z46" s="63"/>
      <c r="AA46" s="63"/>
      <c r="AB46" s="63"/>
    </row>
  </sheetData>
  <sheetProtection password="CFC9" sheet="1"/>
  <mergeCells count="58">
    <mergeCell ref="B2:Q2"/>
    <mergeCell ref="O3:P3"/>
    <mergeCell ref="D5:N5"/>
    <mergeCell ref="L8:Q8"/>
    <mergeCell ref="F6:K6"/>
    <mergeCell ref="E3:K3"/>
    <mergeCell ref="C4:D4"/>
    <mergeCell ref="L19:Q19"/>
    <mergeCell ref="L25:Q25"/>
    <mergeCell ref="L26:Q26"/>
    <mergeCell ref="L27:Q27"/>
    <mergeCell ref="G20:K20"/>
    <mergeCell ref="G21:K21"/>
    <mergeCell ref="G22:K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31:P31"/>
    <mergeCell ref="L20:Q20"/>
    <mergeCell ref="L21:Q21"/>
    <mergeCell ref="L22:Q22"/>
    <mergeCell ref="L28:Q28"/>
    <mergeCell ref="L30:P30"/>
    <mergeCell ref="L23:Q23"/>
    <mergeCell ref="L24:Q24"/>
    <mergeCell ref="L29:Q29"/>
    <mergeCell ref="F31:K31"/>
    <mergeCell ref="B21:D21"/>
    <mergeCell ref="G28:K28"/>
    <mergeCell ref="G29:K29"/>
    <mergeCell ref="F30:K30"/>
    <mergeCell ref="B30:E30"/>
    <mergeCell ref="B27:D27"/>
    <mergeCell ref="B28:D28"/>
    <mergeCell ref="B29:D29"/>
    <mergeCell ref="B22:D22"/>
    <mergeCell ref="C9:E9"/>
    <mergeCell ref="G9:K9"/>
    <mergeCell ref="M9:Q9"/>
    <mergeCell ref="C3:D3"/>
    <mergeCell ref="E4:L4"/>
    <mergeCell ref="B8:E8"/>
    <mergeCell ref="F8:K8"/>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alignWithMargins="0">
    <oddFooter>&amp;L&amp;F&amp;C&amp;A&amp;R&amp;D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sheetPr>
  <dimension ref="A1:O42"/>
  <sheetViews>
    <sheetView showGridLines="0" topLeftCell="A23" zoomScale="90" zoomScaleNormal="90" workbookViewId="0">
      <selection activeCell="D38" sqref="D38:G38"/>
    </sheetView>
  </sheetViews>
  <sheetFormatPr baseColWidth="10" defaultColWidth="9.140625" defaultRowHeight="11.25"/>
  <cols>
    <col min="1" max="1" width="1.140625" style="31" customWidth="1"/>
    <col min="2" max="2" width="19.28515625" style="31" customWidth="1"/>
    <col min="3" max="3" width="1.140625" style="31" customWidth="1"/>
    <col min="4" max="4" width="17.140625" style="31" customWidth="1"/>
    <col min="5" max="5" width="17.5703125" style="31" customWidth="1"/>
    <col min="6" max="6" width="9.7109375" style="31" customWidth="1"/>
    <col min="7" max="7" width="13" style="31" customWidth="1"/>
    <col min="8" max="8" width="4.28515625" style="31" customWidth="1"/>
    <col min="9" max="9" width="15.85546875" style="31" customWidth="1"/>
    <col min="10" max="10" width="3.5703125" style="31" customWidth="1"/>
    <col min="11" max="11" width="7.5703125" style="32" customWidth="1"/>
    <col min="12" max="12" width="22" style="31" customWidth="1"/>
    <col min="13" max="13" width="12" style="31" customWidth="1"/>
    <col min="14" max="14" width="5.42578125" style="31" customWidth="1"/>
    <col min="15" max="15" width="2.5703125" style="31" customWidth="1"/>
    <col min="16" max="16384" width="9.140625" style="31"/>
  </cols>
  <sheetData>
    <row r="1" spans="1:15" ht="38.25" customHeight="1">
      <c r="A1" s="131"/>
      <c r="B1" s="131"/>
      <c r="C1" s="131"/>
      <c r="D1" s="131"/>
      <c r="E1" s="131"/>
      <c r="F1" s="131"/>
      <c r="G1" s="131"/>
      <c r="H1" s="131"/>
      <c r="I1" s="131"/>
      <c r="J1" s="131"/>
      <c r="K1" s="132"/>
      <c r="L1" s="131"/>
      <c r="M1" s="131"/>
      <c r="N1" s="131"/>
    </row>
    <row r="2" spans="1:15" customFormat="1" ht="27.75" customHeight="1">
      <c r="A2" s="3"/>
      <c r="B2" s="782" t="str">
        <f>+"Cuadro de mando:  "&amp;"  "&amp;+'Introducción de datos'!C4&amp;" - "&amp;'Introducción de datos'!G6</f>
        <v>Cuadro de mando:    Perú - VIH / SIDA</v>
      </c>
      <c r="C2" s="782"/>
      <c r="D2" s="782"/>
      <c r="E2" s="782"/>
      <c r="F2" s="782"/>
      <c r="G2" s="782"/>
      <c r="H2" s="782"/>
      <c r="I2" s="782"/>
      <c r="J2" s="782"/>
      <c r="K2" s="782"/>
      <c r="L2" s="782"/>
      <c r="M2" s="782"/>
      <c r="N2" s="782"/>
      <c r="O2" s="72"/>
    </row>
    <row r="3" spans="1:15" customFormat="1" ht="18.75">
      <c r="A3" s="3"/>
      <c r="B3" s="114" t="str">
        <f>+'Introducción de datos'!G8</f>
        <v>Seleccionar</v>
      </c>
      <c r="C3" s="722" t="str">
        <f>+'Introducción de datos'!I8</f>
        <v>Seleccionar</v>
      </c>
      <c r="D3" s="722"/>
      <c r="E3" s="785"/>
      <c r="F3" s="785"/>
      <c r="G3" s="785"/>
      <c r="H3" s="785"/>
      <c r="I3" s="785"/>
      <c r="J3" s="785"/>
      <c r="K3" s="785"/>
      <c r="L3" s="114" t="str">
        <f>+'Introducción de datos'!B16</f>
        <v>Periodo:</v>
      </c>
      <c r="M3" s="179" t="str">
        <f>+'Introducción de datos'!C16</f>
        <v>P5</v>
      </c>
      <c r="N3" s="179"/>
      <c r="O3" s="31"/>
    </row>
    <row r="4" spans="1:15" customFormat="1" ht="15">
      <c r="A4" s="3"/>
      <c r="B4" s="114" t="str">
        <f>+'Introducción de datos'!B12</f>
        <v>Ultima calificación:</v>
      </c>
      <c r="C4" s="786" t="str">
        <f>+'Introducción de datos'!C12</f>
        <v>Seleccionar</v>
      </c>
      <c r="D4" s="786"/>
      <c r="E4" s="721" t="str">
        <f>+'Introducción de datos'!C8</f>
        <v>CARE PERU</v>
      </c>
      <c r="F4" s="721"/>
      <c r="G4" s="721"/>
      <c r="H4" s="721"/>
      <c r="I4" s="721"/>
      <c r="J4" s="721"/>
      <c r="K4" s="721"/>
      <c r="L4" s="114" t="str">
        <f>+'Introducción de datos'!D16</f>
        <v>Desde:</v>
      </c>
      <c r="M4" s="180">
        <f>+'Introducción de datos'!E16</f>
        <v>43831</v>
      </c>
      <c r="N4" s="180"/>
      <c r="O4" s="31"/>
    </row>
    <row r="5" spans="1:15" customFormat="1" ht="18.75" customHeight="1">
      <c r="A5" s="3"/>
      <c r="B5" s="114"/>
      <c r="C5" s="114"/>
      <c r="D5" s="115"/>
      <c r="E5" s="721" t="str">
        <f>+'Introducción de datos'!G4</f>
        <v>Expansión de la Respuesta Nacional al VIH en poblaciones clave y vulnerables de ámbitos urbanos y amazónicos del Perú</v>
      </c>
      <c r="F5" s="721"/>
      <c r="G5" s="721"/>
      <c r="H5" s="721"/>
      <c r="I5" s="721"/>
      <c r="J5" s="721"/>
      <c r="K5" s="721"/>
      <c r="L5" s="114" t="str">
        <f>+'Introducción de datos'!F16</f>
        <v>Hasta:</v>
      </c>
      <c r="M5" s="180">
        <f>+'Introducción de datos'!G16</f>
        <v>44104</v>
      </c>
      <c r="N5" s="180"/>
    </row>
    <row r="6" spans="1:15" customFormat="1" ht="22.5" customHeight="1">
      <c r="A6" s="3"/>
      <c r="B6" s="119"/>
      <c r="C6" s="120"/>
      <c r="D6" s="121"/>
      <c r="E6" s="829" t="s">
        <v>90</v>
      </c>
      <c r="F6" s="830"/>
      <c r="G6" s="830"/>
      <c r="H6" s="830"/>
      <c r="I6" s="830"/>
      <c r="J6" s="830"/>
      <c r="K6" s="830"/>
      <c r="L6" s="2"/>
      <c r="M6" s="2"/>
      <c r="N6" s="2"/>
    </row>
    <row r="7" spans="1:15" s="33" customFormat="1" ht="4.5" customHeight="1">
      <c r="A7" s="133"/>
      <c r="B7" s="134"/>
      <c r="C7" s="134"/>
      <c r="D7" s="134"/>
      <c r="E7" s="134"/>
      <c r="F7" s="134"/>
      <c r="G7" s="134"/>
      <c r="H7" s="134"/>
      <c r="I7" s="134"/>
      <c r="J7" s="134"/>
      <c r="K7" s="134"/>
      <c r="L7" s="135"/>
      <c r="M7" s="135"/>
      <c r="N7" s="136"/>
    </row>
    <row r="8" spans="1:15" s="33" customFormat="1" ht="21" customHeight="1" thickBot="1">
      <c r="A8" s="133"/>
      <c r="B8" s="805" t="s">
        <v>283</v>
      </c>
      <c r="C8" s="806"/>
      <c r="D8" s="806"/>
      <c r="E8" s="806"/>
      <c r="F8" s="806"/>
      <c r="G8" s="806"/>
      <c r="H8" s="806"/>
      <c r="I8" s="806"/>
      <c r="J8" s="806"/>
      <c r="K8" s="806"/>
      <c r="L8" s="806"/>
      <c r="M8" s="806"/>
      <c r="N8" s="806"/>
    </row>
    <row r="9" spans="1:15" s="33" customFormat="1" ht="3.75" customHeight="1" thickBot="1">
      <c r="A9" s="133"/>
      <c r="B9" s="134"/>
      <c r="C9" s="134"/>
      <c r="D9" s="134"/>
      <c r="E9" s="134"/>
      <c r="F9" s="134"/>
      <c r="G9" s="134"/>
      <c r="H9" s="134"/>
      <c r="I9" s="134"/>
      <c r="J9" s="134"/>
      <c r="K9" s="134"/>
      <c r="L9" s="135"/>
      <c r="M9" s="135"/>
      <c r="N9" s="136"/>
    </row>
    <row r="10" spans="1:15" s="34" customFormat="1" ht="25.5" customHeight="1" thickBot="1">
      <c r="A10" s="137"/>
      <c r="B10" s="817" t="s">
        <v>207</v>
      </c>
      <c r="C10" s="844"/>
      <c r="D10" s="831" t="s">
        <v>91</v>
      </c>
      <c r="E10" s="832"/>
      <c r="F10" s="832"/>
      <c r="G10" s="833"/>
      <c r="H10" s="140"/>
      <c r="I10" s="831" t="s">
        <v>90</v>
      </c>
      <c r="J10" s="832"/>
      <c r="K10" s="832"/>
      <c r="L10" s="832"/>
      <c r="M10" s="832"/>
      <c r="N10" s="833"/>
    </row>
    <row r="11" spans="1:15" s="34" customFormat="1" ht="28.5" customHeight="1">
      <c r="A11" s="137"/>
      <c r="B11" s="441" t="s">
        <v>146</v>
      </c>
      <c r="C11" s="157"/>
      <c r="D11" s="809" t="str">
        <f>IF(ISBLANK(Financiamiento!C9),"",(Financiamiento!C9))</f>
        <v xml:space="preserve">1.- El FM ha efectuado 4 desembolsos; los cuales corresponden al presupuesto original aprobado para el primer y segundo año.
2.-  En el trimestre Jul-Set 2020, el FM efectúo un pago directo al proveedor por $72,574 que corresponde a la compra de 2750 pruebas GenXpert COVID-19 para la respuesta frente a la pandemia COVID-19.
3.- El desembolso total del FM asciende a $ 3,492,989 que representa el 55.75% del presupuesto total aprobado, el cual asciende a $6,264,586.
</v>
      </c>
      <c r="E11" s="809"/>
      <c r="F11" s="809"/>
      <c r="G11" s="810"/>
      <c r="H11" s="163"/>
      <c r="I11" s="814"/>
      <c r="J11" s="815"/>
      <c r="K11" s="815"/>
      <c r="L11" s="815"/>
      <c r="M11" s="815"/>
      <c r="N11" s="816"/>
    </row>
    <row r="12" spans="1:15" s="34" customFormat="1" ht="27.75" customHeight="1">
      <c r="A12" s="137"/>
      <c r="B12" s="442" t="s">
        <v>147</v>
      </c>
      <c r="C12" s="158"/>
      <c r="D12" s="809" t="str">
        <f>IF(ISBLANK(Financiamiento!C23),"",(Financiamiento!C23))</f>
        <v xml:space="preserve">1. El presupuesto original hasta setiembre de 2020 asciende a US$ 3,492,989, siendo que los gastos acumulados, incluyendo el uso de fondos del 5% original de COVID-19 (US$ 319,606.15), suman US% 2,588,510 (74.10%).
2. Los módulos 1 y 2 correspondientes a la implementación de nuevas brigadas móviles urbanas en Tumbes, Lambayeque y Arequipa se han reprogramado para enero 2021 a junio 2022, sin embargo se han adquirido las unidades móviles consensuadas con las DIRESA/GERESA.
3. En el módulo 3 se han incluido los fondos para usos de COVID-19.
4. En el módulo 4, debido a la pandemia por COVID-19, se suspendieron las actividades de campo, entre ellas, los equipos de coinfección, los mismos que se han reiniciado a través de trabajo remoto desde julio 2020, extendiéndose hasta diciembre 2021.
5. En el módulo 5, los MCC han sido extendidos de manera remota hasta octubre 2020, reprogramándose sus actividades hasta marzo 2021.
6.- En el módulo 6, como parte de la reprogramación se ha remitido las A.T. de Sistema de Interoperabilidad
</v>
      </c>
      <c r="E12" s="809"/>
      <c r="F12" s="809"/>
      <c r="G12" s="810"/>
      <c r="H12" s="163"/>
      <c r="I12" s="811"/>
      <c r="J12" s="812"/>
      <c r="K12" s="812"/>
      <c r="L12" s="812"/>
      <c r="M12" s="812"/>
      <c r="N12" s="813"/>
    </row>
    <row r="13" spans="1:15" s="34" customFormat="1" ht="26.25" customHeight="1">
      <c r="A13" s="137"/>
      <c r="B13" s="442" t="s">
        <v>148</v>
      </c>
      <c r="C13" s="158"/>
      <c r="D13" s="809" t="str">
        <f>IF(ISBLANK(Financiamiento!I9),"",(Financiamiento!I9))</f>
        <v>1.- El porcentaje de ejecución del proyecto en función al importe desembolsado por el FM representa el 74%.</v>
      </c>
      <c r="E13" s="809"/>
      <c r="F13" s="809"/>
      <c r="G13" s="810"/>
      <c r="H13" s="163"/>
      <c r="I13" s="811"/>
      <c r="J13" s="812"/>
      <c r="K13" s="812"/>
      <c r="L13" s="812"/>
      <c r="M13" s="812"/>
      <c r="N13" s="813"/>
    </row>
    <row r="14" spans="1:15" s="34" customFormat="1" ht="28.5" customHeight="1" thickBot="1">
      <c r="A14" s="137"/>
      <c r="B14" s="443" t="s">
        <v>149</v>
      </c>
      <c r="C14" s="159"/>
      <c r="D14" s="807" t="str">
        <f>IF(ISBLANK(Financiamiento!I23),"",(Financiamiento!I23))</f>
        <v/>
      </c>
      <c r="E14" s="807"/>
      <c r="F14" s="807"/>
      <c r="G14" s="808"/>
      <c r="H14" s="163"/>
      <c r="I14" s="841"/>
      <c r="J14" s="842"/>
      <c r="K14" s="842"/>
      <c r="L14" s="842"/>
      <c r="M14" s="842"/>
      <c r="N14" s="843"/>
    </row>
    <row r="15" spans="1:15" s="34" customFormat="1" ht="4.5" customHeight="1">
      <c r="A15" s="137"/>
      <c r="B15" s="160"/>
      <c r="C15" s="161"/>
      <c r="D15" s="162"/>
      <c r="E15" s="162"/>
      <c r="F15" s="162"/>
      <c r="G15" s="162"/>
      <c r="H15" s="163"/>
      <c r="I15" s="164"/>
      <c r="J15" s="164"/>
      <c r="K15" s="164"/>
      <c r="L15" s="164"/>
      <c r="M15" s="164"/>
      <c r="N15" s="164"/>
      <c r="O15" s="74"/>
    </row>
    <row r="16" spans="1:15" s="33" customFormat="1" ht="21" customHeight="1" thickBot="1">
      <c r="A16" s="133"/>
      <c r="B16" s="805" t="s">
        <v>308</v>
      </c>
      <c r="C16" s="806"/>
      <c r="D16" s="806"/>
      <c r="E16" s="806"/>
      <c r="F16" s="806"/>
      <c r="G16" s="806"/>
      <c r="H16" s="806"/>
      <c r="I16" s="806"/>
      <c r="J16" s="806"/>
      <c r="K16" s="806"/>
      <c r="L16" s="806"/>
      <c r="M16" s="806"/>
      <c r="N16" s="806"/>
    </row>
    <row r="17" spans="1:15" s="34" customFormat="1" ht="3.75" customHeight="1" thickBot="1">
      <c r="A17" s="137"/>
      <c r="B17" s="146"/>
      <c r="C17" s="147"/>
      <c r="D17" s="148"/>
      <c r="E17" s="149"/>
      <c r="F17" s="150"/>
      <c r="G17" s="150"/>
      <c r="H17" s="151"/>
      <c r="I17" s="152"/>
      <c r="J17" s="153"/>
      <c r="K17" s="142"/>
      <c r="L17" s="143"/>
      <c r="M17" s="144"/>
      <c r="N17" s="145"/>
    </row>
    <row r="18" spans="1:15" s="34" customFormat="1" ht="22.5" customHeight="1" thickBot="1">
      <c r="A18" s="137"/>
      <c r="B18" s="840" t="s">
        <v>93</v>
      </c>
      <c r="C18" s="818"/>
      <c r="D18" s="823" t="s">
        <v>91</v>
      </c>
      <c r="E18" s="824"/>
      <c r="F18" s="824"/>
      <c r="G18" s="825"/>
      <c r="H18" s="140"/>
      <c r="I18" s="820" t="s">
        <v>90</v>
      </c>
      <c r="J18" s="821"/>
      <c r="K18" s="821"/>
      <c r="L18" s="821"/>
      <c r="M18" s="822"/>
      <c r="N18" s="822"/>
    </row>
    <row r="19" spans="1:15" s="34" customFormat="1" ht="21.95" customHeight="1">
      <c r="A19" s="137"/>
      <c r="B19" s="437" t="s">
        <v>154</v>
      </c>
      <c r="C19" s="165"/>
      <c r="D19" s="845" t="str">
        <f>IF(ISBLANK(Gestión!C8),"",(Gestión!C8))</f>
        <v>Se encuentran pendientes la presentación del PEM-VIH; otras en progreso: recuperación del IGV, absorción y sostenibilidad de actividades de la subvención previa, entre ellas BMU, que han ingresado a la reprogramación.</v>
      </c>
      <c r="E19" s="845"/>
      <c r="F19" s="845"/>
      <c r="G19" s="846"/>
      <c r="H19" s="166"/>
      <c r="I19" s="834"/>
      <c r="J19" s="835"/>
      <c r="K19" s="835"/>
      <c r="L19" s="835"/>
      <c r="M19" s="835"/>
      <c r="N19" s="836"/>
    </row>
    <row r="20" spans="1:15" ht="24.75" customHeight="1">
      <c r="A20" s="131"/>
      <c r="B20" s="438" t="s">
        <v>155</v>
      </c>
      <c r="C20" s="167"/>
      <c r="D20" s="809" t="str">
        <f>IF(ISBLANK(Gestión!I8),"",(Gestión!I8))</f>
        <v>Sin comentarios</v>
      </c>
      <c r="E20" s="809" t="e">
        <f>+'Introducción de datos'!D73/'Introducción de datos'!G73</f>
        <v>#DIV/0!</v>
      </c>
      <c r="F20" s="809" t="e">
        <f>+('Introducción de datos'!E73+'Introducción de datos'!F73)/'Introducción de datos'!G73</f>
        <v>#DIV/0!</v>
      </c>
      <c r="G20" s="819"/>
      <c r="H20" s="166"/>
      <c r="I20" s="826"/>
      <c r="J20" s="827"/>
      <c r="K20" s="827"/>
      <c r="L20" s="827"/>
      <c r="M20" s="827"/>
      <c r="N20" s="828"/>
      <c r="O20" s="35"/>
    </row>
    <row r="21" spans="1:15" ht="29.25" customHeight="1">
      <c r="A21" s="131"/>
      <c r="B21" s="439" t="s">
        <v>309</v>
      </c>
      <c r="C21" s="167"/>
      <c r="D21" s="809" t="str">
        <f>IF(ISBLANK(Gestión!C16),"",(Gestión!C16))</f>
        <v>No se cuenta con RP</v>
      </c>
      <c r="E21" s="809"/>
      <c r="F21" s="809"/>
      <c r="G21" s="819"/>
      <c r="H21" s="166"/>
      <c r="I21" s="826"/>
      <c r="J21" s="827"/>
      <c r="K21" s="827"/>
      <c r="L21" s="827"/>
      <c r="M21" s="827"/>
      <c r="N21" s="828"/>
      <c r="O21" s="35"/>
    </row>
    <row r="22" spans="1:15" ht="26.25" customHeight="1">
      <c r="A22" s="131"/>
      <c r="B22" s="439" t="s">
        <v>310</v>
      </c>
      <c r="C22" s="167"/>
      <c r="D22" s="809" t="str">
        <f>IF(ISBLANK(Gestión!I16),"",(Gestión!I16))</f>
        <v>No se cuenta con RP</v>
      </c>
      <c r="E22" s="809"/>
      <c r="F22" s="809"/>
      <c r="G22" s="819"/>
      <c r="H22" s="166"/>
      <c r="I22" s="826"/>
      <c r="J22" s="827"/>
      <c r="K22" s="827"/>
      <c r="L22" s="827"/>
      <c r="M22" s="827"/>
      <c r="N22" s="828"/>
      <c r="O22" s="35"/>
    </row>
    <row r="23" spans="1:15" ht="24.75" customHeight="1">
      <c r="A23" s="131"/>
      <c r="B23" s="439" t="s">
        <v>311</v>
      </c>
      <c r="C23" s="167"/>
      <c r="D23" s="809" t="str">
        <f>IF(ISBLANK(Gestión!C27),"",(Gestión!C27))</f>
        <v>Como parte de la implementación del Proyecto País VIH 2019-2022, se adquirieron cartuchos GeneXpert VIH (programación 2019 y 2020) y COVID-19, así como EPP distribuidos entre el INS, DPVIH y DIRIS Lima (4), habiéndose ejecutado el 98.90% (US$ 985,286 / US$ 996,225)</v>
      </c>
      <c r="E23" s="809"/>
      <c r="F23" s="809"/>
      <c r="G23" s="819"/>
      <c r="H23" s="166"/>
      <c r="I23" s="826"/>
      <c r="J23" s="827"/>
      <c r="K23" s="827"/>
      <c r="L23" s="827"/>
      <c r="M23" s="827"/>
      <c r="N23" s="828"/>
      <c r="O23" s="35"/>
    </row>
    <row r="24" spans="1:15" ht="27" customHeight="1" thickBot="1">
      <c r="A24" s="131"/>
      <c r="B24" s="440" t="s">
        <v>312</v>
      </c>
      <c r="C24" s="168"/>
      <c r="D24" s="803" t="str">
        <f>IF(ISBLANK(Gestión!I27),"",(Gestión!I27))</f>
        <v>Los cartuchos de carga viral para VIH se entregarán a partir de diciembre de 2020, según solicitud del INS y carta de Cepheid</v>
      </c>
      <c r="E24" s="803"/>
      <c r="F24" s="803"/>
      <c r="G24" s="804"/>
      <c r="H24" s="166"/>
      <c r="I24" s="837"/>
      <c r="J24" s="838"/>
      <c r="K24" s="838"/>
      <c r="L24" s="838"/>
      <c r="M24" s="838"/>
      <c r="N24" s="839"/>
      <c r="O24" s="35"/>
    </row>
    <row r="25" spans="1:15" ht="4.5" customHeight="1">
      <c r="A25" s="133"/>
      <c r="B25" s="138"/>
      <c r="C25" s="139"/>
      <c r="D25" s="154"/>
      <c r="E25" s="155"/>
      <c r="F25" s="156"/>
      <c r="G25" s="156"/>
      <c r="H25" s="140"/>
      <c r="I25" s="155"/>
      <c r="J25" s="141"/>
      <c r="K25" s="142"/>
      <c r="L25" s="143"/>
      <c r="M25" s="144"/>
      <c r="N25" s="145"/>
      <c r="O25" s="35"/>
    </row>
    <row r="26" spans="1:15" s="33" customFormat="1" ht="21" customHeight="1" thickBot="1">
      <c r="A26" s="133"/>
      <c r="B26" s="805" t="s">
        <v>284</v>
      </c>
      <c r="C26" s="806"/>
      <c r="D26" s="806"/>
      <c r="E26" s="806"/>
      <c r="F26" s="806"/>
      <c r="G26" s="806"/>
      <c r="H26" s="806"/>
      <c r="I26" s="806"/>
      <c r="J26" s="806"/>
      <c r="K26" s="806"/>
      <c r="L26" s="806"/>
      <c r="M26" s="806"/>
      <c r="N26" s="806"/>
    </row>
    <row r="27" spans="1:15" ht="3.75" customHeight="1" thickBot="1">
      <c r="A27" s="133"/>
      <c r="B27" s="138"/>
      <c r="C27" s="139"/>
      <c r="D27" s="154"/>
      <c r="E27" s="155"/>
      <c r="F27" s="156"/>
      <c r="G27" s="156"/>
      <c r="H27" s="140"/>
      <c r="I27" s="155"/>
      <c r="J27" s="141"/>
      <c r="K27" s="142"/>
      <c r="L27" s="143"/>
      <c r="M27" s="144"/>
      <c r="N27" s="145"/>
      <c r="O27" s="35"/>
    </row>
    <row r="28" spans="1:15" ht="21.75" customHeight="1" thickBot="1">
      <c r="A28" s="131"/>
      <c r="B28" s="817" t="s">
        <v>214</v>
      </c>
      <c r="C28" s="818"/>
      <c r="D28" s="790" t="s">
        <v>91</v>
      </c>
      <c r="E28" s="791"/>
      <c r="F28" s="791"/>
      <c r="G28" s="792"/>
      <c r="H28" s="140"/>
      <c r="I28" s="790" t="s">
        <v>90</v>
      </c>
      <c r="J28" s="791"/>
      <c r="K28" s="791"/>
      <c r="L28" s="791"/>
      <c r="M28" s="791"/>
      <c r="N28" s="792"/>
      <c r="O28" s="35"/>
    </row>
    <row r="29" spans="1:15" ht="29.25" customHeight="1">
      <c r="A29" s="131"/>
      <c r="B29" s="434" t="s">
        <v>94</v>
      </c>
      <c r="C29" s="169"/>
      <c r="D29" s="793" t="str">
        <f>IF(ISBLANK(Programatico!C9),"",(Programatico!C9))</f>
        <v>Según lo informado por la DPVIH, el tamizaje alcanzado por la suma de las ofertas fija, móvil y BMU alcanzó a 2,385 usuarios HSH/gais, ello debido al impacto negativo de la pandemia por COVID-19</v>
      </c>
      <c r="E29" s="794"/>
      <c r="F29" s="794"/>
      <c r="G29" s="795"/>
      <c r="H29" s="166"/>
      <c r="I29" s="799"/>
      <c r="J29" s="800"/>
      <c r="K29" s="800"/>
      <c r="L29" s="800"/>
      <c r="M29" s="800"/>
      <c r="N29" s="801"/>
      <c r="O29" s="35"/>
    </row>
    <row r="30" spans="1:15" ht="21.95" customHeight="1">
      <c r="A30" s="131"/>
      <c r="B30" s="435" t="s">
        <v>95</v>
      </c>
      <c r="C30" s="170"/>
      <c r="D30" s="802" t="str">
        <f>IF(ISBLANK(Programatico!G9),"",(Programatico!G9))</f>
        <v>Según lo informado por la DPVIH, el tamizaje alcanzado por la suma de las ofertas fija, móvil y BMU alcanzó a 390 usuarias MT, ello debido al impacto negativo de la pandemia por COVID-19</v>
      </c>
      <c r="E30" s="788"/>
      <c r="F30" s="788"/>
      <c r="G30" s="789"/>
      <c r="H30" s="166"/>
      <c r="I30" s="796"/>
      <c r="J30" s="797"/>
      <c r="K30" s="797"/>
      <c r="L30" s="797"/>
      <c r="M30" s="797"/>
      <c r="N30" s="798"/>
      <c r="O30" s="35"/>
    </row>
    <row r="31" spans="1:15" ht="21.95" customHeight="1">
      <c r="A31" s="131"/>
      <c r="B31" s="435" t="s">
        <v>96</v>
      </c>
      <c r="C31" s="170"/>
      <c r="D31" s="802" t="str">
        <f>IF(ISBLANK(Programatico!M9),"",(Programatico!M9))</f>
        <v>Según lo informado por la DPVIH, la TAR alcanza al 95% de la PVV (69,299 / 72,735)</v>
      </c>
      <c r="E31" s="788"/>
      <c r="F31" s="788"/>
      <c r="G31" s="789"/>
      <c r="H31" s="166"/>
      <c r="I31" s="796"/>
      <c r="J31" s="797"/>
      <c r="K31" s="797"/>
      <c r="L31" s="797"/>
      <c r="M31" s="797"/>
      <c r="N31" s="798"/>
      <c r="O31" s="35"/>
    </row>
    <row r="32" spans="1:15" ht="21.95" customHeight="1">
      <c r="A32" s="131"/>
      <c r="B32" s="436" t="s">
        <v>150</v>
      </c>
      <c r="C32" s="170"/>
      <c r="D32" s="787" t="str">
        <f>IF(ISBLANK(Programatico!L20),"",(Programatico!L20))</f>
        <v xml:space="preserve">Meta anual (2020) programada: 30.5% (N: 78,544/D: 256,692) </v>
      </c>
      <c r="E32" s="788"/>
      <c r="F32" s="788"/>
      <c r="G32" s="789"/>
      <c r="H32" s="166"/>
      <c r="I32" s="796"/>
      <c r="J32" s="797"/>
      <c r="K32" s="797"/>
      <c r="L32" s="797"/>
      <c r="M32" s="797"/>
      <c r="N32" s="798"/>
      <c r="O32" s="35"/>
    </row>
    <row r="33" spans="1:15" ht="27" customHeight="1">
      <c r="A33" s="131"/>
      <c r="B33" s="436" t="s">
        <v>151</v>
      </c>
      <c r="C33" s="170"/>
      <c r="D33" s="787" t="str">
        <f>IF(ISBLANK(Programatico!L21),"",(Programatico!L21))</f>
        <v xml:space="preserve">Meta anual (2020) programada: 25.9 % (N:  8,979 /D: 34,558) </v>
      </c>
      <c r="E33" s="788"/>
      <c r="F33" s="788"/>
      <c r="G33" s="789"/>
      <c r="H33" s="166"/>
      <c r="I33" s="796"/>
      <c r="J33" s="797"/>
      <c r="K33" s="797"/>
      <c r="L33" s="797"/>
      <c r="M33" s="797"/>
      <c r="N33" s="798"/>
      <c r="O33" s="35"/>
    </row>
    <row r="34" spans="1:15" ht="21.95" customHeight="1">
      <c r="A34" s="131"/>
      <c r="B34" s="436" t="s">
        <v>152</v>
      </c>
      <c r="C34" s="170"/>
      <c r="D34" s="787" t="str">
        <f>IF(ISBLANK(Programatico!L22),"",(Programatico!L22))</f>
        <v xml:space="preserve">Meta anual (2020) programada: 81.7 % (N:  59,452 /D: 72,735) </v>
      </c>
      <c r="E34" s="788"/>
      <c r="F34" s="788"/>
      <c r="G34" s="789"/>
      <c r="H34" s="166"/>
      <c r="I34" s="796"/>
      <c r="J34" s="797"/>
      <c r="K34" s="797"/>
      <c r="L34" s="797"/>
      <c r="M34" s="797"/>
      <c r="N34" s="798"/>
      <c r="O34" s="35"/>
    </row>
    <row r="35" spans="1:15" ht="21.95" customHeight="1">
      <c r="A35" s="131"/>
      <c r="B35" s="436" t="s">
        <v>153</v>
      </c>
      <c r="C35" s="210"/>
      <c r="D35" s="787" t="str">
        <f>IF(ISBLANK(Programatico!L23),"",(Programatico!L23))</f>
        <v xml:space="preserve">Meta anual (2020) programada: 62.2 % (N:  1,183 /D: 1,900) </v>
      </c>
      <c r="E35" s="788"/>
      <c r="F35" s="788"/>
      <c r="G35" s="789"/>
      <c r="H35" s="166"/>
      <c r="I35" s="796"/>
      <c r="J35" s="797"/>
      <c r="K35" s="797"/>
      <c r="L35" s="797"/>
      <c r="M35" s="797"/>
      <c r="N35" s="798"/>
      <c r="O35" s="35"/>
    </row>
    <row r="36" spans="1:15" ht="21.95" customHeight="1">
      <c r="A36" s="131"/>
      <c r="B36" s="436" t="s">
        <v>156</v>
      </c>
      <c r="C36" s="210"/>
      <c r="D36" s="787" t="str">
        <f>IF(ISBLANK(Programatico!L24),"",(Programatico!L24))</f>
        <v xml:space="preserve">Meta anual (2020) programada: 84.2 % (N:  4,700 /D: 5,578) </v>
      </c>
      <c r="E36" s="788"/>
      <c r="F36" s="788"/>
      <c r="G36" s="789"/>
      <c r="H36" s="166"/>
      <c r="I36" s="796"/>
      <c r="J36" s="797"/>
      <c r="K36" s="797"/>
      <c r="L36" s="797"/>
      <c r="M36" s="797"/>
      <c r="N36" s="798"/>
      <c r="O36" s="35"/>
    </row>
    <row r="37" spans="1:15" ht="21.95" customHeight="1">
      <c r="A37" s="131"/>
      <c r="B37" s="436" t="s">
        <v>157</v>
      </c>
      <c r="C37" s="210"/>
      <c r="D37" s="787" t="str">
        <f>IF(ISBLANK(Programatico!L25),"",(Programatico!L25))</f>
        <v>El resultado alcanzado corresponde a: 908 HSH y 204 MT, se continúa con restricciones de salidas de BMU a causa de la pandemia.</v>
      </c>
      <c r="E37" s="788"/>
      <c r="F37" s="788"/>
      <c r="G37" s="789"/>
      <c r="H37" s="166"/>
      <c r="I37" s="796"/>
      <c r="J37" s="797"/>
      <c r="K37" s="797"/>
      <c r="L37" s="797"/>
      <c r="M37" s="797"/>
      <c r="N37" s="798"/>
      <c r="O37" s="35"/>
    </row>
    <row r="38" spans="1:15" ht="21.95" customHeight="1">
      <c r="A38" s="131"/>
      <c r="B38" s="436" t="s">
        <v>158</v>
      </c>
      <c r="C38" s="210"/>
      <c r="D38" s="787" t="str">
        <f>IF(ISBLANK(Programatico!L26),"",(Programatico!L26))</f>
        <v>Del total de 13,308 PVV, 918 recibieron tratamiento preventivo TB lo que significa un 6.9%</v>
      </c>
      <c r="E38" s="788"/>
      <c r="F38" s="788"/>
      <c r="G38" s="789"/>
      <c r="H38" s="166"/>
      <c r="I38" s="796"/>
      <c r="J38" s="797"/>
      <c r="K38" s="797"/>
      <c r="L38" s="797"/>
      <c r="M38" s="797"/>
      <c r="N38" s="798"/>
      <c r="O38" s="35"/>
    </row>
    <row r="39" spans="1:15" ht="21.95" customHeight="1">
      <c r="A39" s="131"/>
      <c r="B39" s="436" t="s">
        <v>159</v>
      </c>
      <c r="C39" s="210"/>
      <c r="D39" s="787" t="str">
        <f>IF(ISBLANK(Programatico!L27),"",(Programatico!L27))</f>
        <v>Del total de 825 (pacientes TB/VIH), 23 con tratamiento completo</v>
      </c>
      <c r="E39" s="788"/>
      <c r="F39" s="788"/>
      <c r="G39" s="789"/>
      <c r="H39" s="166"/>
      <c r="I39" s="796"/>
      <c r="J39" s="797"/>
      <c r="K39" s="797"/>
      <c r="L39" s="797"/>
      <c r="M39" s="797"/>
      <c r="N39" s="798"/>
      <c r="O39" s="35"/>
    </row>
    <row r="40" spans="1:15" ht="21.95" customHeight="1">
      <c r="A40" s="131"/>
      <c r="B40" s="436" t="s">
        <v>160</v>
      </c>
      <c r="C40" s="210"/>
      <c r="D40" s="787" t="str">
        <f>IF(ISBLANK(Programatico!L28),"",(Programatico!L28))</f>
        <v>De abril a la fecha debido al estado de inmovilización por la pandemia del COVID 19, se tienen metas acorde al trabajo remoto realizado por los MCC (capacitaciones remotas, refuerzo de la adherencia al tratamiento a través de medios virtuales y apoyo para el recojo de medicamentos); sin embargo se contabilizan un total de 92 tamizajes a través de veces realizados por estrategia empleada desde el MCC.</v>
      </c>
      <c r="E40" s="788"/>
      <c r="F40" s="788"/>
      <c r="G40" s="789"/>
      <c r="H40" s="166"/>
      <c r="I40" s="796"/>
      <c r="J40" s="797"/>
      <c r="K40" s="797"/>
      <c r="L40" s="797"/>
      <c r="M40" s="797"/>
      <c r="N40" s="798"/>
      <c r="O40" s="35"/>
    </row>
    <row r="41" spans="1:15" ht="21.95" customHeight="1" thickBot="1">
      <c r="A41" s="131"/>
      <c r="B41" s="436" t="s">
        <v>161</v>
      </c>
      <c r="C41" s="171"/>
      <c r="D41" s="787" t="str">
        <f>IF(ISBLANK(Programatico!L29),"",(Programatico!L29))</f>
        <v/>
      </c>
      <c r="E41" s="788"/>
      <c r="F41" s="788"/>
      <c r="G41" s="789"/>
      <c r="H41" s="166"/>
      <c r="I41" s="847"/>
      <c r="J41" s="848"/>
      <c r="K41" s="848"/>
      <c r="L41" s="848"/>
      <c r="M41" s="848"/>
      <c r="N41" s="849"/>
      <c r="O41" s="35"/>
    </row>
    <row r="42" spans="1:15" ht="14.25">
      <c r="A42" s="131"/>
      <c r="B42" s="172"/>
      <c r="C42" s="172"/>
      <c r="D42" s="173"/>
      <c r="E42" s="131"/>
      <c r="F42" s="172"/>
      <c r="G42" s="172"/>
      <c r="H42" s="131"/>
      <c r="I42" s="174"/>
      <c r="J42" s="131"/>
      <c r="K42" s="175"/>
      <c r="L42" s="175"/>
      <c r="M42" s="175"/>
      <c r="N42" s="175"/>
      <c r="O42" s="35"/>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B2:N2"/>
    <mergeCell ref="E5:K5"/>
    <mergeCell ref="E6:K6"/>
    <mergeCell ref="E3:K3"/>
    <mergeCell ref="C4:D4"/>
    <mergeCell ref="E4:K4"/>
    <mergeCell ref="C3:D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D36:G36"/>
    <mergeCell ref="D30:G30"/>
    <mergeCell ref="D31:G31"/>
    <mergeCell ref="D24:G24"/>
    <mergeCell ref="D33:G33"/>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r:id="rId1"/>
  <headerFooter alignWithMargins="0">
    <oddFooter>&amp;L&amp;F&amp;C&amp;A&amp;R&amp;D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sheetPr>
  <dimension ref="A1:M43"/>
  <sheetViews>
    <sheetView showGridLines="0" zoomScale="70" zoomScaleNormal="70" zoomScaleSheetLayoutView="100" workbookViewId="0"/>
  </sheetViews>
  <sheetFormatPr baseColWidth="10" defaultColWidth="9.140625"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747" t="str">
        <f>+"Cuadro de mando:  "&amp;"  "&amp;+'Introducción de datos'!C4&amp;" - "&amp;'Introducción de datos'!G6</f>
        <v>Cuadro de mando:    Perú - VIH / SIDA</v>
      </c>
      <c r="C2" s="747"/>
      <c r="D2" s="747"/>
      <c r="E2" s="747"/>
      <c r="F2" s="747"/>
      <c r="G2" s="747"/>
      <c r="H2" s="747"/>
      <c r="I2" s="747"/>
      <c r="J2" s="747"/>
      <c r="K2" s="747"/>
      <c r="L2" s="747"/>
    </row>
    <row r="3" spans="1:13">
      <c r="B3" s="24" t="str">
        <f>+'Introducción de datos'!G8</f>
        <v>Seleccionar</v>
      </c>
      <c r="C3" s="746" t="str">
        <f>+'Introducción de datos'!I8</f>
        <v>Seleccionar</v>
      </c>
      <c r="D3" s="746"/>
      <c r="E3" s="744"/>
      <c r="F3" s="744"/>
      <c r="G3" s="744"/>
      <c r="H3" s="744"/>
      <c r="I3" s="744"/>
      <c r="J3" s="740" t="str">
        <f>+'Introducción de datos'!B16</f>
        <v>Periodo:</v>
      </c>
      <c r="K3" s="740"/>
      <c r="L3" s="179" t="str">
        <f>+'Introducción de datos'!C16</f>
        <v>P5</v>
      </c>
      <c r="M3" s="82"/>
    </row>
    <row r="4" spans="1:13">
      <c r="B4" s="24" t="str">
        <f>+'Introducción de datos'!B12</f>
        <v>Ultima calificación:</v>
      </c>
      <c r="C4" s="866" t="str">
        <f>+'Introducción de datos'!C12</f>
        <v>Seleccionar</v>
      </c>
      <c r="D4" s="866"/>
      <c r="E4" s="744" t="str">
        <f>+'Introducción de datos'!C8</f>
        <v>CARE PERU</v>
      </c>
      <c r="F4" s="744"/>
      <c r="G4" s="744"/>
      <c r="H4" s="744"/>
      <c r="I4" s="744"/>
      <c r="J4" s="740" t="str">
        <f>+'Introducción de datos'!D16</f>
        <v>Desde:</v>
      </c>
      <c r="K4" s="741"/>
      <c r="L4" s="180">
        <f>+'Introducción de datos'!E16</f>
        <v>43831</v>
      </c>
    </row>
    <row r="5" spans="1:13" ht="18.75" customHeight="1">
      <c r="B5" s="24"/>
      <c r="C5" s="24"/>
      <c r="D5" s="744" t="str">
        <f>+'Introducción de datos'!G4</f>
        <v>Expansión de la Respuesta Nacional al VIH en poblaciones clave y vulnerables de ámbitos urbanos y amazónicos del Perú</v>
      </c>
      <c r="E5" s="744"/>
      <c r="F5" s="744"/>
      <c r="G5" s="744"/>
      <c r="H5" s="744"/>
      <c r="I5" s="744"/>
      <c r="J5" s="744"/>
      <c r="K5" s="24" t="str">
        <f>+'Introducción de datos'!F16</f>
        <v>Hasta:</v>
      </c>
      <c r="L5" s="180">
        <f>+'Introducción de datos'!G16</f>
        <v>44104</v>
      </c>
    </row>
    <row r="6" spans="1:13" ht="18.75">
      <c r="B6" s="23"/>
      <c r="C6" s="24"/>
      <c r="D6" s="25"/>
      <c r="E6" s="749" t="s">
        <v>243</v>
      </c>
      <c r="F6" s="749"/>
      <c r="G6" s="749"/>
      <c r="H6" s="749"/>
      <c r="I6" s="749"/>
    </row>
    <row r="7" spans="1:13" ht="18.75">
      <c r="E7" s="71"/>
      <c r="F7" s="71"/>
      <c r="G7" s="71"/>
      <c r="H7" s="71"/>
      <c r="I7" s="71"/>
    </row>
    <row r="8" spans="1:13" s="33" customFormat="1" ht="21" customHeight="1" thickBot="1">
      <c r="B8" s="428" t="s">
        <v>97</v>
      </c>
      <c r="C8" s="75"/>
      <c r="D8" s="75"/>
      <c r="E8" s="75"/>
      <c r="F8" s="75"/>
      <c r="G8" s="75"/>
      <c r="H8" s="75"/>
      <c r="I8" s="75"/>
      <c r="J8" s="75"/>
      <c r="K8" s="75"/>
      <c r="L8" s="75"/>
    </row>
    <row r="9" spans="1:13" ht="6" customHeight="1">
      <c r="B9" s="73"/>
    </row>
    <row r="10" spans="1:13">
      <c r="B10" s="872"/>
      <c r="C10" s="873"/>
      <c r="D10" s="873"/>
      <c r="E10" s="873"/>
      <c r="F10" s="873"/>
      <c r="G10" s="873"/>
      <c r="H10" s="873"/>
      <c r="I10" s="873"/>
      <c r="J10" s="873"/>
      <c r="K10" s="873"/>
      <c r="L10" s="874"/>
    </row>
    <row r="11" spans="1:13">
      <c r="B11" s="875"/>
      <c r="C11" s="876"/>
      <c r="D11" s="876"/>
      <c r="E11" s="876"/>
      <c r="F11" s="876"/>
      <c r="G11" s="876"/>
      <c r="H11" s="876"/>
      <c r="I11" s="876"/>
      <c r="J11" s="876"/>
      <c r="K11" s="876"/>
      <c r="L11" s="877"/>
    </row>
    <row r="12" spans="1:13" ht="15.75" thickBot="1"/>
    <row r="13" spans="1:13" ht="42" customHeight="1" thickBot="1">
      <c r="A13" s="371"/>
      <c r="B13" s="869" t="s">
        <v>314</v>
      </c>
      <c r="C13" s="870"/>
      <c r="D13" s="870"/>
      <c r="E13" s="871"/>
      <c r="F13" s="372"/>
      <c r="G13" s="884" t="s">
        <v>98</v>
      </c>
      <c r="H13" s="864"/>
      <c r="I13" s="864"/>
      <c r="J13" s="373" t="s">
        <v>285</v>
      </c>
      <c r="K13" s="864" t="s">
        <v>99</v>
      </c>
      <c r="L13" s="865"/>
    </row>
    <row r="14" spans="1:13">
      <c r="A14" s="881" t="s">
        <v>40</v>
      </c>
      <c r="B14" s="878"/>
      <c r="C14" s="878"/>
      <c r="D14" s="878"/>
      <c r="E14" s="879"/>
      <c r="F14" s="374"/>
      <c r="G14" s="899"/>
      <c r="H14" s="867"/>
      <c r="I14" s="867"/>
      <c r="J14" s="867"/>
      <c r="K14" s="867"/>
      <c r="L14" s="868"/>
    </row>
    <row r="15" spans="1:13">
      <c r="A15" s="882"/>
      <c r="B15" s="878"/>
      <c r="C15" s="878"/>
      <c r="D15" s="878"/>
      <c r="E15" s="879"/>
      <c r="F15" s="374"/>
      <c r="G15" s="880"/>
      <c r="H15" s="856"/>
      <c r="I15" s="856"/>
      <c r="J15" s="856"/>
      <c r="K15" s="856"/>
      <c r="L15" s="857"/>
    </row>
    <row r="16" spans="1:13">
      <c r="A16" s="882"/>
      <c r="B16" s="878"/>
      <c r="C16" s="878"/>
      <c r="D16" s="878"/>
      <c r="E16" s="879"/>
      <c r="F16" s="374"/>
      <c r="G16" s="880"/>
      <c r="H16" s="856"/>
      <c r="I16" s="856"/>
      <c r="J16" s="856"/>
      <c r="K16" s="856"/>
      <c r="L16" s="857"/>
    </row>
    <row r="17" spans="1:12">
      <c r="A17" s="882"/>
      <c r="B17" s="878"/>
      <c r="C17" s="878"/>
      <c r="D17" s="878"/>
      <c r="E17" s="879"/>
      <c r="F17" s="374"/>
      <c r="G17" s="880"/>
      <c r="H17" s="856"/>
      <c r="I17" s="856"/>
      <c r="J17" s="856"/>
      <c r="K17" s="856"/>
      <c r="L17" s="857"/>
    </row>
    <row r="18" spans="1:12">
      <c r="A18" s="882"/>
      <c r="B18" s="878"/>
      <c r="C18" s="878"/>
      <c r="D18" s="878"/>
      <c r="E18" s="879"/>
      <c r="F18" s="374"/>
      <c r="G18" s="900"/>
      <c r="H18" s="901"/>
      <c r="I18" s="902"/>
      <c r="J18" s="856"/>
      <c r="K18" s="856"/>
      <c r="L18" s="857"/>
    </row>
    <row r="19" spans="1:12" ht="30.75" customHeight="1">
      <c r="A19" s="882"/>
      <c r="B19" s="878"/>
      <c r="C19" s="878"/>
      <c r="D19" s="878"/>
      <c r="E19" s="879"/>
      <c r="F19" s="374"/>
      <c r="G19" s="889"/>
      <c r="H19" s="890"/>
      <c r="I19" s="903"/>
      <c r="J19" s="856"/>
      <c r="K19" s="856"/>
      <c r="L19" s="857"/>
    </row>
    <row r="20" spans="1:12">
      <c r="A20" s="882"/>
      <c r="B20" s="878"/>
      <c r="C20" s="878"/>
      <c r="D20" s="878"/>
      <c r="E20" s="879"/>
      <c r="F20" s="374"/>
      <c r="G20" s="880"/>
      <c r="H20" s="856"/>
      <c r="I20" s="856"/>
      <c r="J20" s="856"/>
      <c r="K20" s="856"/>
      <c r="L20" s="857"/>
    </row>
    <row r="21" spans="1:12">
      <c r="A21" s="882"/>
      <c r="B21" s="878"/>
      <c r="C21" s="878"/>
      <c r="D21" s="878"/>
      <c r="E21" s="879"/>
      <c r="F21" s="374"/>
      <c r="G21" s="880"/>
      <c r="H21" s="856"/>
      <c r="I21" s="856"/>
      <c r="J21" s="856"/>
      <c r="K21" s="856"/>
      <c r="L21" s="857"/>
    </row>
    <row r="22" spans="1:12">
      <c r="A22" s="882"/>
      <c r="B22" s="878"/>
      <c r="C22" s="878"/>
      <c r="D22" s="878"/>
      <c r="E22" s="879"/>
      <c r="F22" s="374"/>
      <c r="G22" s="880"/>
      <c r="H22" s="856"/>
      <c r="I22" s="856"/>
      <c r="J22" s="856"/>
      <c r="K22" s="856"/>
      <c r="L22" s="857"/>
    </row>
    <row r="23" spans="1:12">
      <c r="A23" s="882"/>
      <c r="B23" s="878"/>
      <c r="C23" s="878"/>
      <c r="D23" s="878"/>
      <c r="E23" s="879"/>
      <c r="F23" s="374"/>
      <c r="G23" s="880"/>
      <c r="H23" s="856"/>
      <c r="I23" s="856"/>
      <c r="J23" s="856"/>
      <c r="K23" s="856"/>
      <c r="L23" s="857"/>
    </row>
    <row r="24" spans="1:12">
      <c r="A24" s="882"/>
      <c r="B24" s="878"/>
      <c r="C24" s="878"/>
      <c r="D24" s="878"/>
      <c r="E24" s="879"/>
      <c r="F24" s="374"/>
      <c r="G24" s="880"/>
      <c r="H24" s="856"/>
      <c r="I24" s="856"/>
      <c r="J24" s="856"/>
      <c r="K24" s="856"/>
      <c r="L24" s="857"/>
    </row>
    <row r="25" spans="1:12" ht="15.75" thickBot="1">
      <c r="A25" s="883"/>
      <c r="B25" s="896"/>
      <c r="C25" s="896"/>
      <c r="D25" s="896"/>
      <c r="E25" s="897"/>
      <c r="F25" s="374"/>
      <c r="G25" s="885"/>
      <c r="H25" s="858"/>
      <c r="I25" s="858"/>
      <c r="J25" s="858"/>
      <c r="K25" s="858"/>
      <c r="L25" s="859"/>
    </row>
    <row r="26" spans="1:12">
      <c r="A26" s="371"/>
      <c r="B26" s="371"/>
      <c r="C26" s="371"/>
      <c r="D26" s="371"/>
      <c r="E26" s="371"/>
      <c r="F26" s="371"/>
      <c r="G26" s="371"/>
      <c r="H26" s="371"/>
      <c r="I26" s="371"/>
      <c r="J26" s="371"/>
      <c r="K26" s="371"/>
      <c r="L26" s="371"/>
    </row>
    <row r="27" spans="1:12" ht="18.75">
      <c r="A27" s="371"/>
      <c r="B27" s="371"/>
      <c r="C27" s="371"/>
      <c r="D27" s="371"/>
      <c r="E27" s="450" t="s">
        <v>315</v>
      </c>
      <c r="F27" s="451"/>
      <c r="G27" s="451"/>
      <c r="H27" s="451"/>
      <c r="I27" s="451"/>
      <c r="J27" s="371"/>
      <c r="K27" s="371"/>
      <c r="L27" s="371"/>
    </row>
    <row r="28" spans="1:12" ht="6" customHeight="1">
      <c r="A28" s="371"/>
      <c r="B28" s="371"/>
      <c r="C28" s="371"/>
      <c r="D28" s="371"/>
      <c r="E28" s="375"/>
      <c r="F28" s="375"/>
      <c r="G28" s="375"/>
      <c r="H28" s="375"/>
      <c r="I28" s="375"/>
      <c r="J28" s="371"/>
      <c r="K28" s="371"/>
      <c r="L28" s="371"/>
    </row>
    <row r="29" spans="1:12" s="33" customFormat="1" ht="21" customHeight="1" thickBot="1">
      <c r="A29" s="376"/>
      <c r="B29" s="428" t="s">
        <v>316</v>
      </c>
      <c r="C29" s="377"/>
      <c r="D29" s="377"/>
      <c r="E29" s="377"/>
      <c r="F29" s="377"/>
      <c r="G29" s="377"/>
      <c r="H29" s="377"/>
      <c r="I29" s="377"/>
      <c r="J29" s="377"/>
      <c r="K29" s="377"/>
      <c r="L29" s="377"/>
    </row>
    <row r="30" spans="1:12" ht="6" customHeight="1" thickBot="1">
      <c r="A30" s="371"/>
      <c r="B30" s="378"/>
      <c r="C30" s="371"/>
      <c r="D30" s="371"/>
      <c r="E30" s="371"/>
      <c r="F30" s="371"/>
      <c r="G30" s="371"/>
      <c r="H30" s="371"/>
      <c r="I30" s="371"/>
      <c r="J30" s="371"/>
      <c r="K30" s="371"/>
      <c r="L30" s="371"/>
    </row>
    <row r="31" spans="1:12" ht="45" customHeight="1" thickBot="1">
      <c r="A31" s="371"/>
      <c r="B31" s="869" t="s">
        <v>98</v>
      </c>
      <c r="C31" s="870"/>
      <c r="D31" s="870"/>
      <c r="E31" s="871"/>
      <c r="F31" s="372"/>
      <c r="G31" s="884" t="s">
        <v>286</v>
      </c>
      <c r="H31" s="864"/>
      <c r="I31" s="864"/>
      <c r="J31" s="373" t="s">
        <v>285</v>
      </c>
      <c r="K31" s="864" t="s">
        <v>99</v>
      </c>
      <c r="L31" s="865"/>
    </row>
    <row r="32" spans="1:12" ht="18.75" customHeight="1">
      <c r="A32" s="881" t="s">
        <v>100</v>
      </c>
      <c r="B32" s="886"/>
      <c r="C32" s="887"/>
      <c r="D32" s="887"/>
      <c r="E32" s="888"/>
      <c r="F32" s="374"/>
      <c r="G32" s="898"/>
      <c r="H32" s="854"/>
      <c r="I32" s="854"/>
      <c r="J32" s="854"/>
      <c r="K32" s="854"/>
      <c r="L32" s="855"/>
    </row>
    <row r="33" spans="1:12" ht="18.75" customHeight="1">
      <c r="A33" s="882"/>
      <c r="B33" s="889"/>
      <c r="C33" s="890"/>
      <c r="D33" s="890"/>
      <c r="E33" s="891"/>
      <c r="F33" s="374"/>
      <c r="G33" s="863"/>
      <c r="H33" s="850"/>
      <c r="I33" s="850"/>
      <c r="J33" s="850"/>
      <c r="K33" s="850"/>
      <c r="L33" s="851"/>
    </row>
    <row r="34" spans="1:12" ht="18.75" customHeight="1">
      <c r="A34" s="882"/>
      <c r="B34" s="860" t="str">
        <f>IF(Recomendaciones!I43="","",Recomendaciones!I43)</f>
        <v/>
      </c>
      <c r="C34" s="861"/>
      <c r="D34" s="861"/>
      <c r="E34" s="862"/>
      <c r="F34" s="374"/>
      <c r="G34" s="863"/>
      <c r="H34" s="850"/>
      <c r="I34" s="850"/>
      <c r="J34" s="850"/>
      <c r="K34" s="850"/>
      <c r="L34" s="851"/>
    </row>
    <row r="35" spans="1:12" ht="18.75" customHeight="1">
      <c r="A35" s="882"/>
      <c r="B35" s="860"/>
      <c r="C35" s="861"/>
      <c r="D35" s="861"/>
      <c r="E35" s="862"/>
      <c r="F35" s="374"/>
      <c r="G35" s="863"/>
      <c r="H35" s="850"/>
      <c r="I35" s="850"/>
      <c r="J35" s="850"/>
      <c r="K35" s="850"/>
      <c r="L35" s="851"/>
    </row>
    <row r="36" spans="1:12" ht="18.75" customHeight="1">
      <c r="A36" s="882"/>
      <c r="B36" s="860" t="str">
        <f>+IF(Recomendaciones!I53="","",Recomendaciones!I53)</f>
        <v/>
      </c>
      <c r="C36" s="861"/>
      <c r="D36" s="861"/>
      <c r="E36" s="862"/>
      <c r="F36" s="374"/>
      <c r="G36" s="863"/>
      <c r="H36" s="850"/>
      <c r="I36" s="850"/>
      <c r="J36" s="850"/>
      <c r="K36" s="850"/>
      <c r="L36" s="851"/>
    </row>
    <row r="37" spans="1:12" ht="18.75" customHeight="1">
      <c r="A37" s="882"/>
      <c r="B37" s="860"/>
      <c r="C37" s="861"/>
      <c r="D37" s="861"/>
      <c r="E37" s="862"/>
      <c r="F37" s="374"/>
      <c r="G37" s="863"/>
      <c r="H37" s="850"/>
      <c r="I37" s="850"/>
      <c r="J37" s="850"/>
      <c r="K37" s="850"/>
      <c r="L37" s="851"/>
    </row>
    <row r="38" spans="1:12" ht="18.75" customHeight="1">
      <c r="A38" s="882"/>
      <c r="B38" s="860"/>
      <c r="C38" s="861"/>
      <c r="D38" s="861"/>
      <c r="E38" s="862"/>
      <c r="F38" s="374"/>
      <c r="G38" s="863"/>
      <c r="H38" s="850"/>
      <c r="I38" s="850"/>
      <c r="J38" s="850"/>
      <c r="K38" s="850"/>
      <c r="L38" s="851"/>
    </row>
    <row r="39" spans="1:12" ht="18.75" customHeight="1">
      <c r="A39" s="882"/>
      <c r="B39" s="860"/>
      <c r="C39" s="861"/>
      <c r="D39" s="861"/>
      <c r="E39" s="862"/>
      <c r="F39" s="374"/>
      <c r="G39" s="863"/>
      <c r="H39" s="850"/>
      <c r="I39" s="850"/>
      <c r="J39" s="850"/>
      <c r="K39" s="850"/>
      <c r="L39" s="851"/>
    </row>
    <row r="40" spans="1:12" ht="18.75" customHeight="1">
      <c r="A40" s="882"/>
      <c r="B40" s="860"/>
      <c r="C40" s="861"/>
      <c r="D40" s="861"/>
      <c r="E40" s="862"/>
      <c r="F40" s="374"/>
      <c r="G40" s="863"/>
      <c r="H40" s="850"/>
      <c r="I40" s="850"/>
      <c r="J40" s="850"/>
      <c r="K40" s="850"/>
      <c r="L40" s="851"/>
    </row>
    <row r="41" spans="1:12" ht="18.75" customHeight="1">
      <c r="A41" s="882"/>
      <c r="B41" s="860"/>
      <c r="C41" s="861"/>
      <c r="D41" s="861"/>
      <c r="E41" s="862"/>
      <c r="F41" s="374"/>
      <c r="G41" s="863"/>
      <c r="H41" s="850"/>
      <c r="I41" s="850"/>
      <c r="J41" s="850"/>
      <c r="K41" s="850"/>
      <c r="L41" s="851"/>
    </row>
    <row r="42" spans="1:12" ht="18.75" customHeight="1">
      <c r="A42" s="882"/>
      <c r="B42" s="860"/>
      <c r="C42" s="861"/>
      <c r="D42" s="861"/>
      <c r="E42" s="862"/>
      <c r="F42" s="374"/>
      <c r="G42" s="863"/>
      <c r="H42" s="850"/>
      <c r="I42" s="850"/>
      <c r="J42" s="850"/>
      <c r="K42" s="850"/>
      <c r="L42" s="851"/>
    </row>
    <row r="43" spans="1:12" ht="18.75" customHeight="1" thickBot="1">
      <c r="A43" s="883"/>
      <c r="B43" s="892"/>
      <c r="C43" s="893"/>
      <c r="D43" s="893"/>
      <c r="E43" s="894"/>
      <c r="F43" s="374"/>
      <c r="G43" s="895"/>
      <c r="H43" s="852"/>
      <c r="I43" s="852"/>
      <c r="J43" s="852"/>
      <c r="K43" s="852"/>
      <c r="L43" s="853"/>
    </row>
  </sheetData>
  <sheetProtection password="CFC9" sheet="1"/>
  <mergeCells count="66">
    <mergeCell ref="K18:L19"/>
    <mergeCell ref="G18:I19"/>
    <mergeCell ref="G13:I13"/>
    <mergeCell ref="K22:L23"/>
    <mergeCell ref="K20:L21"/>
    <mergeCell ref="J18:J19"/>
    <mergeCell ref="J16:J17"/>
    <mergeCell ref="J14:J15"/>
    <mergeCell ref="J20:J21"/>
    <mergeCell ref="A32:A43"/>
    <mergeCell ref="G31:I31"/>
    <mergeCell ref="G20:I21"/>
    <mergeCell ref="G22:I23"/>
    <mergeCell ref="B31:E31"/>
    <mergeCell ref="G24:I25"/>
    <mergeCell ref="G38:I39"/>
    <mergeCell ref="B32:E33"/>
    <mergeCell ref="B42:E43"/>
    <mergeCell ref="G42:I43"/>
    <mergeCell ref="B24:E25"/>
    <mergeCell ref="G32:I33"/>
    <mergeCell ref="A14:A25"/>
    <mergeCell ref="B16:E17"/>
    <mergeCell ref="G14:I15"/>
    <mergeCell ref="B20:E21"/>
    <mergeCell ref="J24:J25"/>
    <mergeCell ref="B14:E15"/>
    <mergeCell ref="J22:J23"/>
    <mergeCell ref="G16:I17"/>
    <mergeCell ref="B18:E19"/>
    <mergeCell ref="B22:E23"/>
    <mergeCell ref="B2:L2"/>
    <mergeCell ref="C4:D4"/>
    <mergeCell ref="K14:L15"/>
    <mergeCell ref="K16:L17"/>
    <mergeCell ref="E3:I3"/>
    <mergeCell ref="J3:K3"/>
    <mergeCell ref="E4:I4"/>
    <mergeCell ref="J4:K4"/>
    <mergeCell ref="E6:I6"/>
    <mergeCell ref="C3:D3"/>
    <mergeCell ref="D5:J5"/>
    <mergeCell ref="B13:E13"/>
    <mergeCell ref="B10:L11"/>
    <mergeCell ref="K13:L13"/>
    <mergeCell ref="K24:L25"/>
    <mergeCell ref="K34:L35"/>
    <mergeCell ref="K40:L41"/>
    <mergeCell ref="B34:E35"/>
    <mergeCell ref="G34:I35"/>
    <mergeCell ref="J34:J35"/>
    <mergeCell ref="B36:E37"/>
    <mergeCell ref="G36:I37"/>
    <mergeCell ref="J36:J37"/>
    <mergeCell ref="G40:I41"/>
    <mergeCell ref="B38:E39"/>
    <mergeCell ref="B40:E41"/>
    <mergeCell ref="J32:J33"/>
    <mergeCell ref="J38:J39"/>
    <mergeCell ref="J40:J41"/>
    <mergeCell ref="K31:L31"/>
    <mergeCell ref="K42:L43"/>
    <mergeCell ref="K36:L37"/>
    <mergeCell ref="K38:L39"/>
    <mergeCell ref="K32:L33"/>
    <mergeCell ref="J42:J43"/>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r:id="rId1"/>
  <headerFooter alignWithMargins="0">
    <oddFooter>&amp;L&amp;F&amp;C&amp;A&amp;R&amp;D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Nr xmlns="f127e3a1-6a43-4b35-8211-dfdf2a8cacea" xsi:nil="true"/>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45DA81-BA05-4A2B-8D3D-90CF4E84C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FA8F313-64BE-42B1-A3DA-67846026FA3B}">
  <ds:schemaRefs>
    <ds:schemaRef ds:uri="http://schemas.microsoft.com/office/2006/metadata/longProperties"/>
  </ds:schemaRefs>
</ds:datastoreItem>
</file>

<file path=customXml/itemProps3.xml><?xml version="1.0" encoding="utf-8"?>
<ds:datastoreItem xmlns:ds="http://schemas.openxmlformats.org/officeDocument/2006/customXml" ds:itemID="{F960E08F-1403-42AE-9DC0-ADB8004EF99C}">
  <ds:schemaRefs>
    <ds:schemaRef ds:uri="http://schemas.microsoft.com/office/2006/metadata/properties"/>
    <ds:schemaRef ds:uri="http://schemas.microsoft.com/office/infopath/2007/PartnerControls"/>
    <ds:schemaRef ds:uri="f127e3a1-6a43-4b35-8211-dfdf2a8cacea"/>
    <ds:schemaRef ds:uri="http://schemas.microsoft.com/sharepoint/v3"/>
  </ds:schemaRefs>
</ds:datastoreItem>
</file>

<file path=customXml/itemProps4.xml><?xml version="1.0" encoding="utf-8"?>
<ds:datastoreItem xmlns:ds="http://schemas.openxmlformats.org/officeDocument/2006/customXml" ds:itemID="{1A33DEBF-5CA1-48F7-A029-41DFBBB76F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25</vt:i4>
      </vt:variant>
    </vt:vector>
  </HeadingPairs>
  <TitlesOfParts>
    <vt:vector size="35" baseType="lpstr">
      <vt:lpstr>Menú</vt:lpstr>
      <vt:lpstr>Lista de indicadores</vt:lpstr>
      <vt:lpstr>Introducción de datos</vt:lpstr>
      <vt:lpstr>Información de la subvención</vt:lpstr>
      <vt:lpstr>Financiamiento</vt:lpstr>
      <vt:lpstr>Gestión</vt:lpstr>
      <vt:lpstr>Programatico</vt:lpstr>
      <vt:lpstr>Recomendaciones</vt:lpstr>
      <vt:lpstr>Acciones</vt:lpstr>
      <vt:lpstr>Setup</vt:lpstr>
      <vt:lpstr>Acciones!Área_de_impresión</vt:lpstr>
      <vt:lpstr>Financiamiento!Área_de_impresión</vt:lpstr>
      <vt:lpstr>Gestión!Área_de_impresión</vt:lpstr>
      <vt:lpstr>'Información de la subvención'!Área_de_impresión</vt:lpstr>
      <vt:lpstr>'Introducción de datos'!Área_de_impresión</vt:lpstr>
      <vt:lpstr>Programatico!Área_de_impresión</vt:lpstr>
      <vt:lpstr>Ciudades</vt:lpstr>
      <vt:lpstr>Component</vt:lpstr>
      <vt:lpstr>Countries</vt:lpstr>
      <vt:lpstr>Currency</vt:lpstr>
      <vt:lpstr>LFA</vt:lpstr>
      <vt:lpstr>Medicaments</vt:lpstr>
      <vt:lpstr>PERIOD</vt:lpstr>
      <vt:lpstr>Phase</vt:lpstr>
      <vt:lpstr>PrintA</vt:lpstr>
      <vt:lpstr>PrintDataF</vt:lpstr>
      <vt:lpstr>PrintDataM</vt:lpstr>
      <vt:lpstr>PrintF</vt:lpstr>
      <vt:lpstr>PrintGD</vt:lpstr>
      <vt:lpstr>Acciones!PrintM</vt:lpstr>
      <vt:lpstr>PrintM</vt:lpstr>
      <vt:lpstr>PrintP</vt:lpstr>
      <vt:lpstr>PrintR</vt:lpstr>
      <vt:lpstr>Rating</vt:lpstr>
      <vt:lpstr>Round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Lucia Bravo</cp:lastModifiedBy>
  <cp:lastPrinted>2011-01-31T13:36:40Z</cp:lastPrinted>
  <dcterms:created xsi:type="dcterms:W3CDTF">2008-11-20T16:06:13Z</dcterms:created>
  <dcterms:modified xsi:type="dcterms:W3CDTF">2022-01-24T15:17:09Z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ContentTypeId">
    <vt:lpwstr>0x0101004BF1F6075714FF459EA7921B9223C8F9</vt:lpwstr>
  </property>
  <property fmtid="{D5CDD505-2E9C-101B-9397-08002B2CF9AE}" pid="5" name="EktContentLanguage">
    <vt:i4>1033</vt:i4>
  </property>
  <property fmtid="{D5CDD505-2E9C-101B-9397-08002B2CF9AE}" pid="6" name="EktQuickLink">
    <vt:lpwstr>DownloadAsset.aspx?id=10409</vt:lpwstr>
  </property>
  <property fmtid="{D5CDD505-2E9C-101B-9397-08002B2CF9AE}" pid="7" name="EktContentType">
    <vt:i4>101</vt:i4>
  </property>
  <property fmtid="{D5CDD505-2E9C-101B-9397-08002B2CF9AE}" pid="8" name="EktContentSubType">
    <vt:i4>0</vt:i4>
  </property>
  <property fmtid="{D5CDD505-2E9C-101B-9397-08002B2CF9AE}" pid="9" name="EktFolderName">
    <vt:lpwstr/>
  </property>
  <property fmtid="{D5CDD505-2E9C-101B-9397-08002B2CF9AE}" pid="10" name="EktCmsPath">
    <vt:lpwstr>&amp;lt;p&amp;gt;Setup  Acciones  Recomendaciones  Programatico  Gesti n  Financiamiento  Informaci n de la subvenci n  Introducci n de datos  Lista de indicadores  Men   Afganist n  Afganist n  Ciudades  Component  Countries  Countries  Currency  LFA  Medicament</vt:lpwstr>
  </property>
  <property fmtid="{D5CDD505-2E9C-101B-9397-08002B2CF9AE}" pid="11" name="EktExpiryType">
    <vt:i4>1</vt:i4>
  </property>
  <property fmtid="{D5CDD505-2E9C-101B-9397-08002B2CF9AE}" pid="12" name="EktDateCreated">
    <vt:filetime>2011-06-15T08:46:35Z</vt:filetime>
  </property>
  <property fmtid="{D5CDD505-2E9C-101B-9397-08002B2CF9AE}" pid="13" name="EktDateModified">
    <vt:filetime>2011-06-15T08:46:36Z</vt:filetime>
  </property>
  <property fmtid="{D5CDD505-2E9C-101B-9397-08002B2CF9AE}" pid="14" name="EktTaxCategory">
    <vt:lpwstr> #eksep# \Navigation\documents\ccm #eksep# </vt:lpwstr>
  </property>
  <property fmtid="{D5CDD505-2E9C-101B-9397-08002B2CF9AE}" pid="15" name="EktDisabledTaxCategory">
    <vt:lpwstr/>
  </property>
  <property fmtid="{D5CDD505-2E9C-101B-9397-08002B2CF9AE}" pid="16" name="EktCmsSize">
    <vt:i4>856576</vt:i4>
  </property>
  <property fmtid="{D5CDD505-2E9C-101B-9397-08002B2CF9AE}" pid="17" name="EktSearchable">
    <vt:i4>1</vt:i4>
  </property>
  <property fmtid="{D5CDD505-2E9C-101B-9397-08002B2CF9AE}" pid="18" name="EktEDescription">
    <vt:lpwstr>Summary &amp;lt;p&amp;gt;Setup  Acciones  Recomendaciones  Programatico  Gesti n  Financiamiento  Informaci n de la subvenci n  Introducci n de datos  Lista de indicadores  Men   Afganist n  Afganist n  Ciudades  Component  Countries  Countries  Currency  LFA  Me</vt:lpwstr>
  </property>
  <property fmtid="{D5CDD505-2E9C-101B-9397-08002B2CF9AE}" pid="19" name="EktFile_Size">
    <vt:lpwstr>819 KB</vt:lpwstr>
  </property>
  <property fmtid="{D5CDD505-2E9C-101B-9397-08002B2CF9AE}" pid="20" name="EktFile_Type">
    <vt:lpwstr>XLS</vt:lpwstr>
  </property>
  <property fmtid="{D5CDD505-2E9C-101B-9397-08002B2CF9AE}" pid="21" name="ekttaxonomyenabled">
    <vt:i4>1</vt:i4>
  </property>
</Properties>
</file>