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C:\Users\Lucia Bravo\Desktop\TABLEROS DE CONTROL\2020\"/>
    </mc:Choice>
  </mc:AlternateContent>
  <xr:revisionPtr revIDLastSave="0" documentId="8_{C18B7635-E901-42F2-BA30-95257103978D}" xr6:coauthVersionLast="46" xr6:coauthVersionMax="46" xr10:uidLastSave="{00000000-0000-0000-0000-000000000000}"/>
  <bookViews>
    <workbookView xWindow="-120" yWindow="-120" windowWidth="29040" windowHeight="15840" tabRatio="836" xr2:uid="{00000000-000D-0000-FFFF-FFFF00000000}"/>
  </bookViews>
  <sheets>
    <sheet name="Menú" sheetId="46" r:id="rId1"/>
    <sheet name="Lista de indicadores" sheetId="45" r:id="rId2"/>
    <sheet name="Introducción de datos" sheetId="29" r:id="rId3"/>
    <sheet name="Información de la subvención" sheetId="27" r:id="rId4"/>
    <sheet name="Financiamiento" sheetId="30" r:id="rId5"/>
    <sheet name="Gestión" sheetId="35" r:id="rId6"/>
    <sheet name="Programatico" sheetId="37" r:id="rId7"/>
    <sheet name="Recomendaciones" sheetId="42" r:id="rId8"/>
    <sheet name="Acciones" sheetId="39" r:id="rId9"/>
    <sheet name="Setup" sheetId="32" state="hidden" r:id="rId10"/>
  </sheets>
  <externalReferences>
    <externalReference r:id="rId11"/>
  </externalReferences>
  <definedNames>
    <definedName name="Afganistán" localSheetId="0">Menú!Countries</definedName>
    <definedName name="Afganistán">Countries</definedName>
    <definedName name="_xlnm.Print_Area" localSheetId="8">Acciones!$A$1:$L$43</definedName>
    <definedName name="_xlnm.Print_Area" localSheetId="4">Financiamiento!$A$2:$L$31</definedName>
    <definedName name="_xlnm.Print_Area" localSheetId="5">Gestión!$A$1:$L$34</definedName>
    <definedName name="_xlnm.Print_Area" localSheetId="3">'Información de la subvención'!$A$1:$K$15</definedName>
    <definedName name="_xlnm.Print_Area" localSheetId="2">'Introducción de datos'!$A$1:$T$150</definedName>
    <definedName name="_xlnm.Print_Area" localSheetId="6">Programatico!$A$1:$Q$29</definedName>
    <definedName name="Ciudades">Setup!$J$9:$J$48</definedName>
    <definedName name="Component">Setup!$B$9:$B$14</definedName>
    <definedName name="Countries" localSheetId="0">[1]Setup!$J$9:$J$48</definedName>
    <definedName name="Countries">Setup!$J$9:$J$48</definedName>
    <definedName name="Currency">Setup!$C$9:$C$11</definedName>
    <definedName name="LFA">Setup!$H$9:$H$22</definedName>
    <definedName name="Medicaments">Setup!$I$9:$I$30</definedName>
    <definedName name="PERIOD">Setup!$F$9:$F$21</definedName>
    <definedName name="Phase">Setup!$E$9:$E$13</definedName>
    <definedName name="PrintA">Acciones!$A$2:$L$34</definedName>
    <definedName name="PrintDataF">'Introducción de datos'!$B$25:$J$65</definedName>
    <definedName name="PrintDataM">'Introducción de datos'!$B$67:$H$111</definedName>
    <definedName name="PrintF">Financiamiento!$A$2:$K$31</definedName>
    <definedName name="PrintGD">'Información de la subvención'!$A$2:$J$13</definedName>
    <definedName name="PrintM" localSheetId="8">Acciones!$A$2:$L$6</definedName>
    <definedName name="PrintM">Gestión!$A$2:$L$36</definedName>
    <definedName name="PrintP">Programatico!$A$2:$P$30</definedName>
    <definedName name="PrintR">Recomendaciones!$A$2:$N$41</definedName>
    <definedName name="Rating">Setup!$G$9:$G$14</definedName>
    <definedName name="Round">Setup!$D$9:$D$21</definedName>
  </definedNames>
  <calcPr calcId="191029"/>
</workbook>
</file>

<file path=xl/calcChain.xml><?xml version="1.0" encoding="utf-8"?>
<calcChain xmlns="http://schemas.openxmlformats.org/spreadsheetml/2006/main">
  <c r="C43" i="29" l="1"/>
  <c r="C40" i="29"/>
  <c r="C39" i="29"/>
  <c r="C47" i="29" s="1"/>
  <c r="D43" i="29"/>
  <c r="B4" i="46"/>
  <c r="B2" i="30"/>
  <c r="B3" i="30"/>
  <c r="C3" i="30"/>
  <c r="I3" i="30"/>
  <c r="B22" i="30" s="1"/>
  <c r="K3" i="30"/>
  <c r="B4" i="30"/>
  <c r="C4" i="30"/>
  <c r="E4" i="30"/>
  <c r="I4" i="30"/>
  <c r="K4" i="30"/>
  <c r="D5" i="30"/>
  <c r="J5" i="30"/>
  <c r="K5" i="30"/>
  <c r="H27" i="30"/>
  <c r="J27" i="30"/>
  <c r="K27" i="30"/>
  <c r="H28" i="30"/>
  <c r="J28" i="30"/>
  <c r="K28" i="30"/>
  <c r="H29" i="30"/>
  <c r="J29" i="30"/>
  <c r="K29" i="30"/>
  <c r="F29" i="37"/>
  <c r="F28" i="37"/>
  <c r="F27" i="37"/>
  <c r="F26" i="37"/>
  <c r="F25" i="37"/>
  <c r="F24" i="37"/>
  <c r="F23" i="37"/>
  <c r="F22" i="37"/>
  <c r="F21" i="37"/>
  <c r="F20" i="37"/>
  <c r="E29" i="37"/>
  <c r="E28" i="37"/>
  <c r="E27" i="37"/>
  <c r="E26" i="37"/>
  <c r="E25" i="37"/>
  <c r="E24" i="37"/>
  <c r="E23" i="37"/>
  <c r="E22" i="37"/>
  <c r="E21" i="37"/>
  <c r="E20" i="37"/>
  <c r="B3" i="27"/>
  <c r="B3" i="32" s="1"/>
  <c r="E51" i="29"/>
  <c r="B2" i="45"/>
  <c r="B8" i="45"/>
  <c r="B21" i="45"/>
  <c r="B6" i="27"/>
  <c r="D38" i="29"/>
  <c r="C38" i="29"/>
  <c r="B32" i="29"/>
  <c r="B31" i="29"/>
  <c r="L4" i="39"/>
  <c r="B2" i="39"/>
  <c r="B2" i="42"/>
  <c r="B2" i="37"/>
  <c r="B2" i="35"/>
  <c r="E90" i="29"/>
  <c r="E89" i="29"/>
  <c r="D47" i="29"/>
  <c r="C33" i="29"/>
  <c r="C35" i="29"/>
  <c r="C34" i="29"/>
  <c r="D34" i="29"/>
  <c r="E34" i="29" s="1"/>
  <c r="F34" i="29" s="1"/>
  <c r="D33" i="29"/>
  <c r="R30" i="29" s="1"/>
  <c r="D11" i="42"/>
  <c r="J3" i="35"/>
  <c r="L3" i="35"/>
  <c r="B7" i="35" s="1"/>
  <c r="D33" i="42"/>
  <c r="D34" i="42"/>
  <c r="D35" i="42"/>
  <c r="D36" i="42"/>
  <c r="D37" i="42"/>
  <c r="D38" i="42"/>
  <c r="D39" i="42"/>
  <c r="D40" i="42"/>
  <c r="D41" i="42"/>
  <c r="D32" i="42"/>
  <c r="D31" i="42"/>
  <c r="D30" i="42"/>
  <c r="D29" i="42"/>
  <c r="E109" i="29"/>
  <c r="G109" i="29" s="1"/>
  <c r="I109" i="29" s="1"/>
  <c r="E108" i="29"/>
  <c r="G108" i="29" s="1"/>
  <c r="I108" i="29" s="1"/>
  <c r="E110" i="29"/>
  <c r="G110" i="29" s="1"/>
  <c r="I110" i="29" s="1"/>
  <c r="E111" i="29"/>
  <c r="G111" i="29"/>
  <c r="I111" i="29" s="1"/>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10" i="27"/>
  <c r="H34" i="29"/>
  <c r="I34" i="29" s="1"/>
  <c r="J34" i="29" s="1"/>
  <c r="K34" i="29" s="1"/>
  <c r="L34" i="29" s="1"/>
  <c r="M34" i="29" s="1"/>
  <c r="N34" i="29" s="1"/>
  <c r="D24" i="42"/>
  <c r="D23" i="42"/>
  <c r="D22" i="42"/>
  <c r="D21" i="42"/>
  <c r="D20" i="42"/>
  <c r="D19" i="42"/>
  <c r="D14" i="42"/>
  <c r="D13" i="42"/>
  <c r="D12" i="42"/>
  <c r="B25" i="45"/>
  <c r="B23" i="45"/>
  <c r="B22" i="45"/>
  <c r="B20" i="45"/>
  <c r="B19" i="45"/>
  <c r="B11" i="45"/>
  <c r="B10" i="45"/>
  <c r="B9" i="45"/>
  <c r="C4" i="39"/>
  <c r="C4" i="42"/>
  <c r="C4" i="37"/>
  <c r="B4" i="37"/>
  <c r="C4" i="35"/>
  <c r="B4" i="35"/>
  <c r="G73" i="29"/>
  <c r="F20" i="42"/>
  <c r="G12" i="27"/>
  <c r="K148" i="29"/>
  <c r="K147" i="29"/>
  <c r="K146" i="29"/>
  <c r="K145" i="29"/>
  <c r="K144" i="29"/>
  <c r="K143" i="29"/>
  <c r="C98" i="29"/>
  <c r="D98" i="29"/>
  <c r="E98" i="29"/>
  <c r="F98" i="29"/>
  <c r="G98" i="29"/>
  <c r="H98" i="29" s="1"/>
  <c r="I98" i="29" s="1"/>
  <c r="J98" i="29" s="1"/>
  <c r="K98" i="29" s="1"/>
  <c r="L98" i="29" s="1"/>
  <c r="M98" i="29" s="1"/>
  <c r="N98" i="29" s="1"/>
  <c r="G72" i="29"/>
  <c r="E53" i="29"/>
  <c r="E52" i="29"/>
  <c r="B4" i="39"/>
  <c r="D5" i="39"/>
  <c r="E4" i="39"/>
  <c r="L5" i="39"/>
  <c r="K5" i="39"/>
  <c r="J4" i="39"/>
  <c r="L3" i="39"/>
  <c r="J3" i="39"/>
  <c r="C3" i="39"/>
  <c r="B3" i="39"/>
  <c r="M5" i="42"/>
  <c r="M4" i="42"/>
  <c r="L5" i="42"/>
  <c r="L4" i="42"/>
  <c r="E5" i="42"/>
  <c r="E4" i="42"/>
  <c r="B4" i="42"/>
  <c r="M3" i="42"/>
  <c r="L3" i="42"/>
  <c r="C3" i="42"/>
  <c r="B3" i="42"/>
  <c r="E4" i="37"/>
  <c r="Q5" i="37"/>
  <c r="Q4" i="37"/>
  <c r="Q3" i="37"/>
  <c r="H30" i="35"/>
  <c r="I33" i="35"/>
  <c r="I32" i="35"/>
  <c r="I31" i="35"/>
  <c r="I30" i="35"/>
  <c r="B26" i="35"/>
  <c r="I9" i="27"/>
  <c r="G13" i="27"/>
  <c r="B13" i="27"/>
  <c r="B12" i="27"/>
  <c r="I11" i="27"/>
  <c r="G11" i="27"/>
  <c r="D11" i="27"/>
  <c r="B11" i="27"/>
  <c r="G10" i="27"/>
  <c r="D10" i="27"/>
  <c r="G9" i="27"/>
  <c r="D9" i="27"/>
  <c r="B9" i="27"/>
  <c r="F6" i="27"/>
  <c r="C100" i="29"/>
  <c r="D100" i="29" s="1"/>
  <c r="E100" i="29" s="1"/>
  <c r="F100" i="29" s="1"/>
  <c r="G100" i="29" s="1"/>
  <c r="H100" i="29" s="1"/>
  <c r="I100" i="29" s="1"/>
  <c r="J100" i="29" s="1"/>
  <c r="K100" i="29" s="1"/>
  <c r="L100" i="29" s="1"/>
  <c r="M100" i="29" s="1"/>
  <c r="N100" i="29" s="1"/>
  <c r="C99" i="29"/>
  <c r="D99" i="29" s="1"/>
  <c r="E99" i="29" s="1"/>
  <c r="F99" i="29" s="1"/>
  <c r="G99" i="29" s="1"/>
  <c r="H99" i="29" s="1"/>
  <c r="I99" i="29" s="1"/>
  <c r="J99" i="29" s="1"/>
  <c r="K99" i="29" s="1"/>
  <c r="L99" i="29" s="1"/>
  <c r="M99" i="29" s="1"/>
  <c r="N99" i="29" s="1"/>
  <c r="E79" i="29"/>
  <c r="D5" i="35"/>
  <c r="E4" i="35"/>
  <c r="L5" i="35"/>
  <c r="K5" i="35"/>
  <c r="L4" i="35"/>
  <c r="J4" i="35"/>
  <c r="C3" i="35"/>
  <c r="B3" i="35"/>
  <c r="D5" i="37"/>
  <c r="P5" i="37"/>
  <c r="P4" i="37"/>
  <c r="O3" i="37"/>
  <c r="C3" i="37"/>
  <c r="B3" i="37"/>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E55" i="29"/>
  <c r="B27" i="37"/>
  <c r="N142" i="29"/>
  <c r="M142" i="29"/>
  <c r="L142" i="29"/>
  <c r="K142" i="29"/>
  <c r="J142" i="29"/>
  <c r="I142" i="29"/>
  <c r="H142" i="29"/>
  <c r="B36" i="39"/>
  <c r="B34" i="39"/>
  <c r="E54" i="29"/>
  <c r="B34" i="35"/>
  <c r="Z24" i="37"/>
  <c r="AA24" i="37"/>
  <c r="Z23" i="37"/>
  <c r="AA23" i="37" s="1"/>
  <c r="Z22" i="37"/>
  <c r="AA22" i="37" s="1"/>
  <c r="AF21" i="37"/>
  <c r="AE21" i="37"/>
  <c r="AD21" i="37"/>
  <c r="AC21" i="37"/>
  <c r="AB21" i="37"/>
  <c r="E20" i="42"/>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H4" i="46"/>
  <c r="B2" i="46"/>
  <c r="AD24" i="37"/>
  <c r="R29" i="29"/>
  <c r="AE24" i="37"/>
  <c r="AF24" i="37"/>
  <c r="AC24" i="37"/>
  <c r="AB24" i="37"/>
  <c r="H22" i="30"/>
  <c r="H8" i="30"/>
  <c r="B8" i="30"/>
  <c r="H7" i="35"/>
  <c r="H26" i="35"/>
  <c r="J30" i="35" l="1"/>
  <c r="K108" i="29"/>
  <c r="L30" i="35" s="1"/>
  <c r="J33" i="35"/>
  <c r="K111" i="29"/>
  <c r="L33" i="35" s="1"/>
  <c r="AE22" i="37"/>
  <c r="AF22" i="37"/>
  <c r="AB22" i="37"/>
  <c r="AC22" i="37"/>
  <c r="AD22" i="37"/>
  <c r="AC23" i="37"/>
  <c r="AB23" i="37"/>
  <c r="AD23" i="37"/>
  <c r="AF23" i="37"/>
  <c r="AE23" i="37"/>
  <c r="J32" i="35"/>
  <c r="K110" i="29"/>
  <c r="L32" i="35" s="1"/>
  <c r="J31" i="35"/>
  <c r="K109" i="29"/>
  <c r="L31" i="35" s="1"/>
  <c r="E33" i="29"/>
  <c r="B15" i="35"/>
  <c r="H15" i="35"/>
  <c r="D35" i="29"/>
  <c r="G24" i="37"/>
  <c r="G26" i="37"/>
  <c r="G22" i="37"/>
  <c r="G21" i="37"/>
  <c r="G20" i="37"/>
  <c r="G27" i="37"/>
  <c r="G28" i="37"/>
  <c r="G25" i="37"/>
  <c r="G29" i="37"/>
  <c r="G23" i="37"/>
  <c r="F33" i="29" l="1"/>
  <c r="R31" i="29"/>
  <c r="E35" i="29"/>
  <c r="R32" i="29" l="1"/>
  <c r="F35" i="29"/>
  <c r="G33" i="29"/>
  <c r="F47" i="29"/>
  <c r="H33" i="29" l="1"/>
  <c r="R33" i="29"/>
  <c r="G35" i="29"/>
  <c r="I33" i="29" l="1"/>
  <c r="H35" i="29"/>
  <c r="R34" i="29"/>
  <c r="J33" i="29" l="1"/>
  <c r="I35" i="29"/>
  <c r="R35" i="29"/>
  <c r="J35" i="29" l="1"/>
  <c r="R49" i="29"/>
  <c r="K33" i="29"/>
  <c r="R50" i="29" l="1"/>
  <c r="L33" i="29"/>
  <c r="K35" i="29"/>
  <c r="M33" i="29" l="1"/>
  <c r="L35" i="29"/>
  <c r="N33" i="29" l="1"/>
  <c r="N35" i="29" s="1"/>
  <c r="O31" i="29" s="1"/>
  <c r="Q51" i="29"/>
  <c r="M35"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molszak</author>
  </authors>
  <commentList>
    <comment ref="B72" authorId="0" shapeId="0" xr:uid="{00000000-0006-0000-0200-000001000000}">
      <text>
        <r>
          <rPr>
            <b/>
            <sz val="8"/>
            <color indexed="81"/>
            <rFont val="Tahoma"/>
            <family val="2"/>
          </rPr>
          <t xml:space="preserve">Si los datos no están disponibles, no introduzca ceros; deje las celdas de la tabla en blanco. </t>
        </r>
      </text>
    </comment>
    <comment ref="B73" authorId="0" shapeId="0" xr:uid="{00000000-0006-0000-0200-000002000000}">
      <text>
        <r>
          <rPr>
            <b/>
            <sz val="8"/>
            <color indexed="81"/>
            <rFont val="Tahoma"/>
            <family val="2"/>
          </rPr>
          <t>Si los datos no están disponibles, no introduzca ceros; deje las celdas de esta tabla en blanco.</t>
        </r>
      </text>
    </comment>
  </commentList>
</comments>
</file>

<file path=xl/sharedStrings.xml><?xml version="1.0" encoding="utf-8"?>
<sst xmlns="http://schemas.openxmlformats.org/spreadsheetml/2006/main" count="501" uniqueCount="358">
  <si>
    <t>Correos electrónicos y registros del RP, ALF y el Fondo Mundial; documentos de notificación bancaria o acuse de recibo por parte del RP al Fondo Mundial; informes de los subreceptores al RP según los registros bancarios</t>
  </si>
  <si>
    <t xml:space="preserve">Los indicadores deben ser seleccionados del Marco de Referencia por los RP y los miembros del MCP o del Comité Técnico del MCP </t>
  </si>
  <si>
    <t>Receptor Principal:</t>
  </si>
  <si>
    <t>Financiación total:</t>
  </si>
  <si>
    <t>Fecha de introducción de la información:</t>
  </si>
  <si>
    <t xml:space="preserve">Información financiera: </t>
  </si>
  <si>
    <t>Periodo de referencia</t>
  </si>
  <si>
    <t>F2: Presupuesto y gastos reales por objetivo de la subvención</t>
  </si>
  <si>
    <t>Anterior al periodo de referencia</t>
  </si>
  <si>
    <t>Días que el desembolso ha tardado en llegar al RP</t>
  </si>
  <si>
    <t xml:space="preserve">Días que el desembolso ha tardado en llegar a los subreceptores </t>
  </si>
  <si>
    <t>(3)
Número total de pacientes en tratamiento</t>
  </si>
  <si>
    <t>(6 = 5 / 4)
Nivel de existencias expresado en meses de tratamiento para todos los pacientes actuales</t>
  </si>
  <si>
    <t xml:space="preserve">(7)
Nivel de existencias de seguridad
(expresado en meses y diferenciado por países) </t>
  </si>
  <si>
    <t>Número de meses</t>
  </si>
  <si>
    <t>Indicador</t>
  </si>
  <si>
    <t>Marco de referencia</t>
  </si>
  <si>
    <t>Información de la subvención</t>
  </si>
  <si>
    <t>País:</t>
  </si>
  <si>
    <t>Componente:</t>
  </si>
  <si>
    <t>Receptor principal:</t>
  </si>
  <si>
    <t>Convocatoria:</t>
  </si>
  <si>
    <t>Fase:</t>
  </si>
  <si>
    <t>Fecha de inicio (dd/mm/aa):</t>
  </si>
  <si>
    <t>Agente Local del Fondo:</t>
  </si>
  <si>
    <t>Última calificación:</t>
  </si>
  <si>
    <t>Periodo de referencia del que se informa</t>
  </si>
  <si>
    <t>Periodo de referencia:</t>
  </si>
  <si>
    <t>Desde:</t>
  </si>
  <si>
    <t>Hasta:</t>
  </si>
  <si>
    <t>Elaborado por:</t>
  </si>
  <si>
    <t>Información sobre los indicadores</t>
  </si>
  <si>
    <t>Introduzca los datos según el código de colores de las celdas</t>
  </si>
  <si>
    <t xml:space="preserve">Información de gestión: </t>
  </si>
  <si>
    <t xml:space="preserve">Información de programa: </t>
  </si>
  <si>
    <t>Moneda de la subvención</t>
  </si>
  <si>
    <t>F1: Presupuesto y desembolsos del Fondo Mundial</t>
  </si>
  <si>
    <t>Presupuesto acumulado</t>
  </si>
  <si>
    <t>Objetivo de la subvención</t>
  </si>
  <si>
    <t>F3: Desembolsos y gastos</t>
  </si>
  <si>
    <t>Periodo de referencia actual</t>
  </si>
  <si>
    <t>Desembolsado por el Fondo Mundial</t>
  </si>
  <si>
    <t>Desembolsado a los subreceptores</t>
  </si>
  <si>
    <t>Gastos de los subreceptores</t>
  </si>
  <si>
    <t>F4: Último ciclo de información y desembolso del RP</t>
  </si>
  <si>
    <t>(Días) esperados</t>
  </si>
  <si>
    <t>(Días) reales</t>
  </si>
  <si>
    <t>Información de gestión:</t>
  </si>
  <si>
    <t xml:space="preserve">     Introduzca los datos de gestión en todas las celdas azules.</t>
  </si>
  <si>
    <t>Cumplidas</t>
  </si>
  <si>
    <t>No cumplidas, aunque dentro de plazo</t>
  </si>
  <si>
    <t>No cumplidas y con el plazo vencido</t>
  </si>
  <si>
    <t>Planificados</t>
  </si>
  <si>
    <t>Cubiertos</t>
  </si>
  <si>
    <t>Vacantes</t>
  </si>
  <si>
    <t>Unidad de gestión de proyecto</t>
  </si>
  <si>
    <t>Identificados</t>
  </si>
  <si>
    <t>Evaluados</t>
  </si>
  <si>
    <t>Aprobados</t>
  </si>
  <si>
    <t>Firmados</t>
  </si>
  <si>
    <t>Que reciben financiación</t>
  </si>
  <si>
    <t>Subreceptores</t>
  </si>
  <si>
    <t>Presupuesto aprobado*</t>
  </si>
  <si>
    <t>Obligaciones</t>
  </si>
  <si>
    <t>Gastos</t>
  </si>
  <si>
    <t>Obligaciones acumuladas</t>
  </si>
  <si>
    <t>Gastos acumulados</t>
  </si>
  <si>
    <t>Componente</t>
  </si>
  <si>
    <t>Productos</t>
  </si>
  <si>
    <t>(2 = 1 x 30)
Tratamiento mensual 
(Pastillas por paciente cada 30 días)</t>
  </si>
  <si>
    <t>(4 = 2 x 3)
Número total de pastillas que se necesitan para todos los pacientes durante un mes</t>
  </si>
  <si>
    <t>(8 = 6 - 7)
Diferencia entre existencias actuales y existencias de seguridad</t>
  </si>
  <si>
    <t>VIH/SIDA</t>
  </si>
  <si>
    <t>Información de programa:</t>
  </si>
  <si>
    <t xml:space="preserve">     Introduzca los datos de desempeño en todas las celdas amarillas.</t>
  </si>
  <si>
    <t>Indicadores de programa (Marco de Referencia)</t>
  </si>
  <si>
    <t>Código</t>
  </si>
  <si>
    <t>¿Directamente vinculados?</t>
  </si>
  <si>
    <t>3 PRIMEROS</t>
  </si>
  <si>
    <t>Meta</t>
  </si>
  <si>
    <t>La tabla se actualiza de forma automática. No debe introducirse aquí ningún dato o información.</t>
  </si>
  <si>
    <t>Fecha de inicio:</t>
  </si>
  <si>
    <t>Financiación total</t>
  </si>
  <si>
    <t>desde:</t>
  </si>
  <si>
    <t>Fecha de elaboración del informe:</t>
  </si>
  <si>
    <t>Indicadores financieros</t>
  </si>
  <si>
    <t>Comentarios:</t>
  </si>
  <si>
    <t xml:space="preserve">Comentarios: </t>
  </si>
  <si>
    <t>máx.</t>
  </si>
  <si>
    <t>Clasificación</t>
  </si>
  <si>
    <t>Recomendaciones</t>
  </si>
  <si>
    <t>Comentarios resumidos</t>
  </si>
  <si>
    <t>¿Cumplen lo acordado la adquisición y la contratación?</t>
  </si>
  <si>
    <t>Gestión</t>
  </si>
  <si>
    <t>P1 - tendencia</t>
  </si>
  <si>
    <t>P2 - tendencia</t>
  </si>
  <si>
    <t>P3 - tendencia</t>
  </si>
  <si>
    <t>¿Cuál es el estado general de la ejecución de esta subvención?</t>
  </si>
  <si>
    <t>Decisión del MCP</t>
  </si>
  <si>
    <t>Persona responsable</t>
  </si>
  <si>
    <t>Periodo de referencia anterior</t>
  </si>
  <si>
    <r>
      <t xml:space="preserve">Número de días naturales; se refiere sólo al periodo de referencia para el que se recibió el último desembolso y </t>
    </r>
    <r>
      <rPr>
        <b/>
        <sz val="11"/>
        <color indexed="8"/>
        <rFont val="Arial"/>
        <family val="2"/>
      </rPr>
      <t>no es acumulado</t>
    </r>
  </si>
  <si>
    <t>Fuente de información</t>
  </si>
  <si>
    <t>Número, en el actual periodo de referencia</t>
  </si>
  <si>
    <t>Registros del RP</t>
  </si>
  <si>
    <t>Número, acumulado hasta el periodo de referencia. Un subreceptor es una institución o programa con un plan de trabajo, un presupuesto y unas metas de cumplimiento propios.</t>
  </si>
  <si>
    <t xml:space="preserve">El número total de informes periódicos con información (del programa) financiera, de gestión y de rendimiento actualizada recibida por el RP de parte de los subreceptores y por los subreceptores de parte de los sub subreceptores en la fecha esperada. Un informe “completo” es aquel que contiene toda la información que el RP exige para el informe de progreso actualizado y solicitud de desembolso.
La fecha esperada sería establecida por el RP en los subacuerdos. </t>
  </si>
  <si>
    <r>
      <t xml:space="preserve">Número de informes recibidos. La cifra refleja sólo el periodo de referencia; no es </t>
    </r>
    <r>
      <rPr>
        <b/>
        <i/>
        <sz val="11"/>
        <color indexed="8"/>
        <rFont val="Arial"/>
        <family val="2"/>
      </rPr>
      <t>acumulada.</t>
    </r>
  </si>
  <si>
    <t>Registros del RP y el subreceptor</t>
  </si>
  <si>
    <t>Moneda de la subvención ($ o euro)</t>
  </si>
  <si>
    <r>
      <t xml:space="preserve">Moneda de la subvención ($ o euro)
• Periodo de referencia – Cifras referidas al presupuesto, los desembolsos o el gasto para el periodo de referencia al que alude el cuadro de mando.
• Antes del periodo de referencia - Cifras referidas a todo el presupuesto, los desembolsos o el gasto para todos los periodos antes, </t>
    </r>
    <r>
      <rPr>
        <b/>
        <i/>
        <sz val="11"/>
        <color indexed="8"/>
        <rFont val="Arial"/>
        <family val="2"/>
      </rPr>
      <t>aunque sin incluirlo,</t>
    </r>
    <r>
      <rPr>
        <sz val="11"/>
        <color indexed="8"/>
        <rFont val="Arial"/>
        <family val="2"/>
      </rPr>
      <t xml:space="preserve"> del periodo actual.</t>
    </r>
  </si>
  <si>
    <t>€</t>
  </si>
  <si>
    <t>$</t>
  </si>
  <si>
    <t>RCC</t>
  </si>
  <si>
    <t>Component</t>
  </si>
  <si>
    <t>MALARIA</t>
  </si>
  <si>
    <t>TB</t>
  </si>
  <si>
    <t>Currency</t>
  </si>
  <si>
    <t>Round</t>
  </si>
  <si>
    <t>Phase</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</si>
  <si>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</si>
  <si>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</si>
  <si>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</si>
  <si>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</si>
  <si>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</si>
  <si>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</si>
  <si>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</si>
  <si>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</si>
  <si>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</si>
  <si>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</si>
  <si>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</si>
  <si>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</si>
  <si>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</si>
  <si>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</si>
  <si>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</si>
  <si>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</si>
  <si>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NVP</t>
  </si>
  <si>
    <t>3TC</t>
  </si>
  <si>
    <t>D4T</t>
  </si>
  <si>
    <t>AZT</t>
  </si>
  <si>
    <t>DDI</t>
  </si>
  <si>
    <t>EFV</t>
  </si>
  <si>
    <t>AS/MQ</t>
  </si>
  <si>
    <t>AS/LF</t>
  </si>
  <si>
    <t>AS/AQ</t>
  </si>
  <si>
    <t>Medicaments</t>
  </si>
  <si>
    <t>F1</t>
  </si>
  <si>
    <t>F2</t>
  </si>
  <si>
    <t>F3</t>
  </si>
  <si>
    <t>F4</t>
  </si>
  <si>
    <t>P1</t>
  </si>
  <si>
    <t>P2</t>
  </si>
  <si>
    <t>P3</t>
  </si>
  <si>
    <t>P4</t>
  </si>
  <si>
    <t>M1</t>
  </si>
  <si>
    <t>M2</t>
  </si>
  <si>
    <t>P5</t>
  </si>
  <si>
    <t>P6</t>
  </si>
  <si>
    <t>P7</t>
  </si>
  <si>
    <t>P8</t>
  </si>
  <si>
    <t>P9</t>
  </si>
  <si>
    <t>P10</t>
  </si>
  <si>
    <t>P11</t>
  </si>
  <si>
    <t>Countries</t>
  </si>
  <si>
    <t>Argentina</t>
  </si>
  <si>
    <t>Bolivia</t>
  </si>
  <si>
    <t>Chile</t>
  </si>
  <si>
    <t>Colombia</t>
  </si>
  <si>
    <t>Costa Rica</t>
  </si>
  <si>
    <t>Cuba</t>
  </si>
  <si>
    <t>Ecuador</t>
  </si>
  <si>
    <t>El Salvador</t>
  </si>
  <si>
    <t>Guatemala</t>
  </si>
  <si>
    <t>Guinea</t>
  </si>
  <si>
    <t>Guinea-Bissau</t>
  </si>
  <si>
    <t>Guyana</t>
  </si>
  <si>
    <t>Honduras</t>
  </si>
  <si>
    <t>Jamaica</t>
  </si>
  <si>
    <t>UNOPS</t>
  </si>
  <si>
    <t>Rating</t>
  </si>
  <si>
    <t>RDT</t>
  </si>
  <si>
    <t>Period</t>
  </si>
  <si>
    <t>P12</t>
  </si>
  <si>
    <t>LFA</t>
  </si>
  <si>
    <t>Isoniazid</t>
  </si>
  <si>
    <t>Ethambutol</t>
  </si>
  <si>
    <t>Rifampicin</t>
  </si>
  <si>
    <t>Pyrazimamide</t>
  </si>
  <si>
    <t>E-PAP</t>
  </si>
  <si>
    <t>Al/Lum</t>
  </si>
  <si>
    <t>TB nutri'l supplements</t>
  </si>
  <si>
    <t>Set-up = List of validation for Grant Detail page</t>
  </si>
  <si>
    <t>Nombre:</t>
  </si>
  <si>
    <t>Definición</t>
  </si>
  <si>
    <t>Mediciones</t>
  </si>
  <si>
    <t>Fuentes de información</t>
  </si>
  <si>
    <t>• Acumulado – Cifras referidas al presupuesto, los desembolsos o el gasto para todos los periodos de la fase hasta el periodo de referencia del cuadro de mando inclusive.</t>
  </si>
  <si>
    <t>Desembolsos  acumulados</t>
  </si>
  <si>
    <t>Indicadores de gestión</t>
  </si>
  <si>
    <t>Comentarios</t>
  </si>
  <si>
    <t>Diferencia entre existencias actuales y existencias de seguridad</t>
  </si>
  <si>
    <t>Meses de existencias de seguridad</t>
  </si>
  <si>
    <t>Nivel de existencias expresado en meses de tratamiento para todos los pacientes actuales.</t>
  </si>
  <si>
    <t>0% - 59%</t>
  </si>
  <si>
    <t>60% - 89%</t>
  </si>
  <si>
    <t>&gt; 90%</t>
  </si>
  <si>
    <t>Lograda</t>
  </si>
  <si>
    <t>Financiera</t>
  </si>
  <si>
    <t>Título de la subvención:</t>
  </si>
  <si>
    <t>hasta:</t>
  </si>
  <si>
    <t>Subvención nº:</t>
  </si>
  <si>
    <t>Indicadores de programa:</t>
  </si>
  <si>
    <t>Indicadores</t>
  </si>
  <si>
    <t>Comentario:</t>
  </si>
  <si>
    <t>Programa</t>
  </si>
  <si>
    <t>Moneda de la subvención ($ o euro) Acumulado – Cifras referidas al presupuesto y los desembolsos para todos los periodos de la fase hasta el periodo de referencia del cuadro de mando inclusive</t>
  </si>
  <si>
    <t>Antigua y Barbuda</t>
  </si>
  <si>
    <t>Antillas Holandesas</t>
  </si>
  <si>
    <t>Aruba</t>
  </si>
  <si>
    <t>Bahamas</t>
  </si>
  <si>
    <t>Barbados</t>
  </si>
  <si>
    <t>Belice</t>
  </si>
  <si>
    <t>Bermudas</t>
  </si>
  <si>
    <t>Brasil</t>
  </si>
  <si>
    <t>Cabo Verde</t>
  </si>
  <si>
    <t>Dominica</t>
  </si>
  <si>
    <t>España</t>
  </si>
  <si>
    <t>Guadalupe</t>
  </si>
  <si>
    <t>Guinea Ecuatorial</t>
  </si>
  <si>
    <t>Haití</t>
  </si>
  <si>
    <t>Islas Caimanes</t>
  </si>
  <si>
    <t>Ronda 1</t>
  </si>
  <si>
    <t>Ronda 2</t>
  </si>
  <si>
    <t>Ronda 3</t>
  </si>
  <si>
    <t>Ronda 4</t>
  </si>
  <si>
    <t>Ronda 5</t>
  </si>
  <si>
    <t>Ronda 6</t>
  </si>
  <si>
    <t>Ronda 7</t>
  </si>
  <si>
    <t>Ronda 8</t>
  </si>
  <si>
    <t>Ronda 9</t>
  </si>
  <si>
    <t>Ronda 10</t>
  </si>
  <si>
    <t>Fase 1</t>
  </si>
  <si>
    <t>Fase 2</t>
  </si>
  <si>
    <t>Decisiones y acciones</t>
  </si>
  <si>
    <t xml:space="preserve">     Introduzca los datos financieros en todas las celdas naranjas como ésta.</t>
  </si>
  <si>
    <t>Sub SR al SR</t>
  </si>
  <si>
    <t>SR al RP</t>
  </si>
  <si>
    <t>México</t>
  </si>
  <si>
    <t>Nicaragua</t>
  </si>
  <si>
    <t>Panamá</t>
  </si>
  <si>
    <t>Paraguay</t>
  </si>
  <si>
    <t>Perú</t>
  </si>
  <si>
    <t>Puerto Rico</t>
  </si>
  <si>
    <t>San Vicente, Granadinas</t>
  </si>
  <si>
    <t>Trinidad y Tobago</t>
  </si>
  <si>
    <t>Uruguay</t>
  </si>
  <si>
    <t>Venezuela</t>
  </si>
  <si>
    <t>Indicadores Financieros</t>
  </si>
  <si>
    <t>Indicadores del programa (del Marco de Referencia)</t>
  </si>
  <si>
    <t>Información bancaria o contable del RP; notificación de desembolso del Fondo Mundial; informe de progreso actualizado/solicitud de desembolso; sitio web del Fondo Mundial</t>
  </si>
  <si>
    <t>Informe de progreso actualizado/solicitud de desembolso; datos del RP: informes de los subreceptores al RP</t>
  </si>
  <si>
    <t>Registros del RP; informes de desempeño de la subvención;</t>
  </si>
  <si>
    <t>Registros del RP; subacuerdos / memorandos de entendimiento; registros del MCP</t>
  </si>
  <si>
    <t>Presupuesto aprobado del acuerdo de subvención (para las categorías 4 y 5 de los informes financieros mejorados de la fase actual); y datos financieros del RP (para gastos) y/o unidades de gestión de adquisición y suministro (para pedidos realizados y fondos comprometidos u obligados).</t>
  </si>
  <si>
    <t>Registros del RP: datos de almacenamiento.</t>
  </si>
  <si>
    <r>
      <t>Desembolso realizado por el Fondo Mundial: Antes de este periodo de referencia:</t>
    </r>
    <r>
      <rPr>
        <sz val="11"/>
        <color indexed="8"/>
        <rFont val="Arial"/>
        <family val="2"/>
      </rPr>
      <t xml:space="preserve"> Suma de las cantidades transferidas por el Fondo Mundial al RP o abonadas directamente a los proveedores (p. ej. medicamentos, equipo, mosquiteras),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Desembolso realizado por el Fondo Mundial: Periodo de referencia:</t>
    </r>
    <r>
      <rPr>
        <sz val="11"/>
        <color indexed="8"/>
        <rFont val="Arial"/>
        <family val="2"/>
      </rPr>
      <t xml:space="preserve"> Suma de las cantidades transferidas por el Fondo Mundial al RP o abonadas directamente a los proveedores (p. ej. medicamentos, equipo, mosquiteras), durante el periodo de referencia del cuadro de mando. 
</t>
    </r>
    <r>
      <rPr>
        <b/>
        <sz val="11"/>
        <color indexed="8"/>
        <rFont val="Arial"/>
        <family val="2"/>
      </rPr>
      <t>Desembolsos y gastos del RP:</t>
    </r>
    <r>
      <rPr>
        <sz val="11"/>
        <color indexed="8"/>
        <rFont val="Arial"/>
        <family val="2"/>
      </rPr>
      <t xml:space="preserve"> </t>
    </r>
    <r>
      <rPr>
        <b/>
        <sz val="11"/>
        <color indexed="8"/>
        <rFont val="Arial"/>
        <family val="2"/>
      </rPr>
      <t>Antes de este periodo de referencia:</t>
    </r>
    <r>
      <rPr>
        <sz val="11"/>
        <color indexed="8"/>
        <rFont val="Arial"/>
        <family val="2"/>
      </rPr>
      <t xml:space="preserve"> Total de fondos registrados como gastados por el RP y/o desembolsados a los subreceptores hasta, </t>
    </r>
    <r>
      <rPr>
        <b/>
        <i/>
        <sz val="11"/>
        <color indexed="8"/>
        <rFont val="Arial"/>
        <family val="2"/>
      </rPr>
      <t xml:space="preserve">aunque sin incluirlo, </t>
    </r>
    <r>
      <rPr>
        <sz val="11"/>
        <color indexed="8"/>
        <rFont val="Arial"/>
        <family val="2"/>
      </rPr>
      <t>el periodo de referencia del cuadro de mando.</t>
    </r>
    <r>
      <rPr>
        <b/>
        <sz val="11"/>
        <color indexed="8"/>
        <rFont val="Arial"/>
        <family val="2"/>
      </rPr>
      <t xml:space="preserve"> Desembolsos y gastos del RP: Periodo de referencia:</t>
    </r>
    <r>
      <rPr>
        <sz val="11"/>
        <color indexed="8"/>
        <rFont val="Arial"/>
        <family val="2"/>
      </rPr>
      <t xml:space="preserve"> Total de fondos registrados como gastados por el RP y/o desembolsados a los subreceptores durante el periodo de referencia del cuadro de mando.</t>
    </r>
    <r>
      <rPr>
        <b/>
        <sz val="11"/>
        <color indexed="8"/>
        <rFont val="Arial"/>
        <family val="2"/>
      </rPr>
      <t xml:space="preserve">
Desembolsos a los subreceptores: Antes de este periodo de referencia: </t>
    </r>
    <r>
      <rPr>
        <sz val="11"/>
        <color indexed="8"/>
        <rFont val="Arial"/>
        <family val="2"/>
      </rPr>
      <t xml:space="preserve">El importe total transferido por el RP a los subreceptores,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 xml:space="preserve">Desembolsos a los subreceptores: Periodo de referencia: </t>
    </r>
    <r>
      <rPr>
        <sz val="11"/>
        <color indexed="8"/>
        <rFont val="Arial"/>
        <family val="2"/>
      </rPr>
      <t>El importe total transferido por el RP a los subreceptores en el periodo de referencia del cuadro de mando.</t>
    </r>
    <r>
      <rPr>
        <b/>
        <sz val="11"/>
        <color indexed="8"/>
        <rFont val="Arial"/>
        <family val="2"/>
      </rPr>
      <t xml:space="preserve">
Gastos de los subreceptores: Antes de este periodo de referencia: </t>
    </r>
    <r>
      <rPr>
        <sz val="11"/>
        <color indexed="8"/>
        <rFont val="Arial"/>
        <family val="2"/>
      </rPr>
      <t xml:space="preserve">El importe de todos los gastos registrados por los subreceptores,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Gastos de los subreceptores: Periodo de referencia:</t>
    </r>
    <r>
      <rPr>
        <sz val="11"/>
        <color indexed="8"/>
        <rFont val="Arial"/>
        <family val="2"/>
      </rPr>
      <t xml:space="preserve"> El importe de todos los gastos registrados por los subreceptores durante el periodo de referencia del cuadro de mando.</t>
    </r>
  </si>
  <si>
    <r>
      <t xml:space="preserve">Días tardados en enviar el informe de progreso actualizado y solicitud de desembolso al ALF – </t>
    </r>
    <r>
      <rPr>
        <sz val="11"/>
        <color indexed="8"/>
        <rFont val="Arial"/>
        <family val="2"/>
      </rPr>
      <t>Este indicador mide el número de días naturales que el RP ha tardado en enviar un informe de progreso actualizado y solicitud de desembolso final al ALF desde el final del periodo. Un informe de progreso actualizado y solicitud de desembolso final cuando el ALF no necesita más aclaraciones del RP.
El valor esperado es de 45 días a partir del final del periodo, según se establece en el acuerdo de subvención.
El valor real es el número de días naturales desde la fecha de finalización del periodo hasta la fecha en la que el RP ha enviado al ALF el informe de progreso actualizado y solicitud de desembolso final.</t>
    </r>
    <r>
      <rPr>
        <b/>
        <sz val="11"/>
        <color indexed="8"/>
        <rFont val="Arial"/>
        <family val="2"/>
      </rPr>
      <t xml:space="preserve">
Días que el desembolso ha tardado en llegar al RP – </t>
    </r>
    <r>
      <rPr>
        <sz val="11"/>
        <color indexed="8"/>
        <rFont val="Arial"/>
        <family val="2"/>
      </rPr>
      <t>Este indicador mide el número de días naturales que el Fondo Mundial ha tardado en enviar el último desembolso a la cuenta del RP tras la recepción del informe de progreso actualizado y solicitud de desembolso final aceptable por parte del ALF. 
El número esperado es de 45 días. 
El número real es el número de días desde la fecha de transmisión del RP al ALF del informe de progreso actualizado y solicitud de desembolso final aceptable hasta la fecha en la que el desembolso ha sido recibido por el RP en su banco.</t>
    </r>
    <r>
      <rPr>
        <b/>
        <sz val="11"/>
        <color indexed="8"/>
        <rFont val="Arial"/>
        <family val="2"/>
      </rPr>
      <t xml:space="preserve">
Días que el desembolso ha tardado en llegar a los subreceptores – </t>
    </r>
    <r>
      <rPr>
        <sz val="11"/>
        <color indexed="8"/>
        <rFont val="Arial"/>
        <family val="2"/>
      </rPr>
      <t>Este indicador mide la media de días en la que los desembolsos se han realizado a todos los subreceptores.
Los días esperados para este indicador se establecerán en el país por el RP y los subreceptores, preferiblemente en el Manual de Operaciones de la Subvención. 
Los días reales son la media de días desde que el RP recibió los fondos procedentes del Fondo Mundial hasta la fecha en la que los recibieron todos los subreceptores. Los distintos subreceptores pudieron recibir los fondos en fechas distintas, por lo que este indicador es la media de todos los subreceptores en relación al último desembolso.</t>
    </r>
  </si>
  <si>
    <r>
      <rPr>
        <b/>
        <sz val="11"/>
        <color indexed="8"/>
        <rFont val="Arial"/>
        <family val="2"/>
      </rPr>
      <t xml:space="preserve">Presupuesto acumulado: </t>
    </r>
    <r>
      <rPr>
        <sz val="11"/>
        <color indexed="8"/>
        <rFont val="Arial"/>
        <family val="2"/>
      </rPr>
      <t xml:space="preserve">Importe del presupuesto de la subvención desde el periodo uno (trimestral, cuatrimestral o semestral) de la fase actual, hasta el periodo de referencia del cuadro de mando inclusive.
</t>
    </r>
    <r>
      <rPr>
        <b/>
        <sz val="11"/>
        <color indexed="8"/>
        <rFont val="Arial"/>
        <family val="2"/>
      </rPr>
      <t xml:space="preserve">Desembolsos acumulados realizados por el Fondo Mundial: </t>
    </r>
    <r>
      <rPr>
        <sz val="11"/>
        <color indexed="8"/>
        <rFont val="Arial"/>
        <family val="2"/>
      </rPr>
      <t>Suma de todos los fondos transferidos por el Fondo Mundial al RP o abonados directamente a los proveedores (p. ej. medicamentos, equipo, mosquiteras); hasta el periodo de referencia del cuadro de mando inclusive.</t>
    </r>
  </si>
  <si>
    <r>
      <rPr>
        <b/>
        <sz val="11"/>
        <color indexed="8"/>
        <rFont val="Arial"/>
        <family val="2"/>
      </rPr>
      <t>Presupuesto acumulado por objetivo:</t>
    </r>
    <r>
      <rPr>
        <sz val="11"/>
        <color indexed="8"/>
        <rFont val="Arial"/>
        <family val="2"/>
      </rPr>
      <t xml:space="preserve"> Suma del presupuesto de la subvención por Objetivo, desde el periodo uno de la fase actual hasta el periodo de referencia del cuadro de mando inclusive. 
</t>
    </r>
    <r>
      <rPr>
        <b/>
        <sz val="11"/>
        <color indexed="8"/>
        <rFont val="Arial"/>
        <family val="2"/>
      </rPr>
      <t>Gasto acumulado por objetivo:</t>
    </r>
    <r>
      <rPr>
        <sz val="11"/>
        <color indexed="8"/>
        <rFont val="Arial"/>
        <family val="2"/>
      </rPr>
      <t xml:space="preserve"> Suma de las cantidades gastadas por objetivo directamente por el RP más las cantidades transferidas por el RP a todos los subreceptores desde el principio de la fase hasta el periodo de referencia del cuadro de mando inclusive, por objetivo</t>
    </r>
  </si>
  <si>
    <r>
      <t>Número de puestos directivos planificados de la subvención del RP actualmente cubiertos o vacantes.</t>
    </r>
    <r>
      <rPr>
        <sz val="11"/>
        <color indexed="8"/>
        <rFont val="Arial"/>
        <family val="2"/>
      </rPr>
      <t xml:space="preserve"> Puestos directos de tiempo completo que están en el organigrama (o planificados de otra forma) y que son directamente responsables de garantizar la ejecución de la subvención en el RP y dirigir a los subreceptores (si es necesario). Incluye las nuevas contrataciones, el personal actual asignado a la gestión de la subvención, así como cualquier otro personal trasladado temporalmente de otras divisiones y organizaciones asociadas.</t>
    </r>
  </si>
  <si>
    <t>Definición (del Plan de Monitoreo y Evaluación, junio de 2007)</t>
  </si>
  <si>
    <r>
      <t xml:space="preserve">
</t>
    </r>
    <r>
      <rPr>
        <b/>
        <sz val="11"/>
        <color indexed="8"/>
        <rFont val="Arial"/>
        <family val="2"/>
      </rPr>
      <t xml:space="preserve">Identificados: </t>
    </r>
    <r>
      <rPr>
        <sz val="11"/>
        <color indexed="8"/>
        <rFont val="Arial"/>
        <family val="2"/>
      </rPr>
      <t xml:space="preserve">Número total de subreceptores potenciales identificados por el RP para la fase. </t>
    </r>
    <r>
      <rPr>
        <b/>
        <sz val="11"/>
        <color indexed="8"/>
        <rFont val="Arial"/>
        <family val="2"/>
      </rPr>
      <t xml:space="preserve">Evaluados: </t>
    </r>
    <r>
      <rPr>
        <sz val="11"/>
        <color indexed="8"/>
        <rFont val="Arial"/>
        <family val="2"/>
      </rPr>
      <t xml:space="preserve">Número total de subreceptores potenciales evaluados por el RP para determinar si cumplen los requisitos para actuar como subreceptores de la subvención. </t>
    </r>
    <r>
      <rPr>
        <b/>
        <sz val="11"/>
        <color indexed="8"/>
        <rFont val="Arial"/>
        <family val="2"/>
      </rPr>
      <t>Aprobados:</t>
    </r>
    <r>
      <rPr>
        <sz val="11"/>
        <color indexed="8"/>
        <rFont val="Arial"/>
        <family val="2"/>
      </rPr>
      <t xml:space="preserve"> Número total de subreceptores que han sido aprobados</t>
    </r>
    <r>
      <rPr>
        <b/>
        <sz val="11"/>
        <color indexed="8"/>
        <rFont val="Arial"/>
        <family val="2"/>
      </rPr>
      <t xml:space="preserve">. Firmados: </t>
    </r>
    <r>
      <rPr>
        <sz val="11"/>
        <color indexed="8"/>
        <rFont val="Arial"/>
        <family val="2"/>
      </rPr>
      <t xml:space="preserve">Número total de subreceptores que han firmado acuerdos o contratos con el RP en relación a la subvención. </t>
    </r>
    <r>
      <rPr>
        <b/>
        <sz val="11"/>
        <color indexed="8"/>
        <rFont val="Arial"/>
        <family val="2"/>
      </rPr>
      <t xml:space="preserve">Que reciben financiación: </t>
    </r>
    <r>
      <rPr>
        <sz val="11"/>
        <color indexed="8"/>
        <rFont val="Arial"/>
        <family val="2"/>
      </rPr>
      <t xml:space="preserve">Número total de subreceptores que están recibiendo fondos y/o provisiones del RP.
Los números de subreceptores identificados, evaluados, firmados y que reciben fondos son acumulados para la fase, con las siguientes excepciones:  
Si un subreceptor no necesita una nueva aprobación en la Fase II, se tiene en cuenta la aprobación de la Fase I. 
Si un subreceptor ha firmado en la fase anterior, pero </t>
    </r>
    <r>
      <rPr>
        <b/>
        <sz val="11"/>
        <color indexed="8"/>
        <rFont val="Arial"/>
        <family val="2"/>
      </rPr>
      <t>no</t>
    </r>
    <r>
      <rPr>
        <sz val="11"/>
        <color indexed="8"/>
        <rFont val="Arial"/>
        <family val="2"/>
      </rPr>
      <t xml:space="preserve"> está trabajando en la fase actual, dicho subreceptor ya no se tiene en cuenta en Identificados, evaluados, aprobados.</t>
    </r>
  </si>
  <si>
    <t>Días tardados en presentar el informe de progreso actualizado y solicitud de desembolso al ALF</t>
  </si>
  <si>
    <t>Esperados</t>
  </si>
  <si>
    <t>Recibidos</t>
  </si>
  <si>
    <t>Pendientes</t>
  </si>
  <si>
    <t>Seleccionar</t>
  </si>
  <si>
    <t>Ultima calificación:</t>
  </si>
  <si>
    <t>Gerente de Cartera del Fondo:</t>
  </si>
  <si>
    <t>Desembolsos</t>
  </si>
  <si>
    <t>Presupuesto aprobado acumulado*</t>
  </si>
  <si>
    <t>(5)
Existencias actuales en el almacén central (que no caducarán en los próximos 3 meses)</t>
  </si>
  <si>
    <t>Logro</t>
  </si>
  <si>
    <t>¿Se están ejecutando los fondos de acuerdo al presupuesto?</t>
  </si>
  <si>
    <t>¿Se están alcanzando las metas programáticas?</t>
  </si>
  <si>
    <t>Fecha límite para ejecutarla</t>
  </si>
  <si>
    <t>Acción realizada</t>
  </si>
  <si>
    <t>M2: Estado de los principales puestos directivos del RP</t>
  </si>
  <si>
    <t xml:space="preserve">M3: Acuerdos contractuales (subreceptores) </t>
  </si>
  <si>
    <t>M6: Diferencia entre existencias actuales y existencias de seguridad</t>
  </si>
  <si>
    <t>Acciones con fecha límite</t>
  </si>
  <si>
    <t>Último desembolso de fondos: Número de días calendario</t>
  </si>
  <si>
    <t>M1: Estado de las condiciones precedentes y acciones con fecha límite</t>
  </si>
  <si>
    <t>Condiciones precedentes</t>
  </si>
  <si>
    <t>M4: Número de informes completos recibidos a tiempo</t>
  </si>
  <si>
    <t>* Incluye sólo los montos de las categorías 4 y 5 (Productos y equipamientos sanitarios y Medicamentos y productos farmacéuticos) de los  Informes Financieros Mejorados</t>
  </si>
  <si>
    <t>(1)
Número de pastillas por paciente/día
(Revisión de las normas de tratamiento del país)</t>
  </si>
  <si>
    <r>
      <t xml:space="preserve">Número de condiciones precedentes y acciones con fecha límite, cumplidas o incumplidas. 
</t>
    </r>
    <r>
      <rPr>
        <sz val="11"/>
        <color indexed="8"/>
        <rFont val="Arial"/>
        <family val="2"/>
      </rPr>
      <t>Cumplidas: Se refieren al número de las condiciones precedentes y acciones con fecha límite que se han llevado a cabo dentro el período establecido. 
No cumplidas: Se refiere al número de las condiciones precedentes y acciones con fecha límite incumplidas, diferenciando las que cuya fecha aún no ha pasado de su fecha límite con aquellas para los que el plazo ya se han pasado del tiempo establecido.</t>
    </r>
  </si>
  <si>
    <t>Número, acumulado hasta el periodo de referencia del cuadro de mando. El número de condiciones precedentes y actuaciones enmarcadas dentro de un calendario cumplidas más condiciones precedentes y actuaciones enmarcadas dentro de un calendario incumplidas debe ser igual al número total establecido por el Fondo Mundial en la subvención</t>
  </si>
  <si>
    <r>
      <t xml:space="preserve">Este indicador mide el presupuesto aprobado para la fase actual de la subvención para la compra de productos y equipos sanitarios, productos farmacéuticos y medicinas (categorías 4 y 5 en los nuevos Informes Financieros Mejorados) y las cantidades acumuladas de las obligaciones financieras y gastos hasta el periodo de referencia del cuadro de mando. 
Presupuesto </t>
    </r>
    <r>
      <rPr>
        <b/>
        <sz val="11"/>
        <color indexed="8"/>
        <rFont val="Arial"/>
        <family val="2"/>
      </rPr>
      <t xml:space="preserve">aprobado: </t>
    </r>
    <r>
      <rPr>
        <sz val="11"/>
        <color indexed="8"/>
        <rFont val="Arial"/>
        <family val="2"/>
      </rPr>
      <t xml:space="preserve">Presupuesto total aprobado para las compras (categorías 4 y 5) </t>
    </r>
    <r>
      <rPr>
        <b/>
        <i/>
        <sz val="11"/>
        <color indexed="8"/>
        <rFont val="Arial"/>
        <family val="2"/>
      </rPr>
      <t>para la fase completa</t>
    </r>
    <r>
      <rPr>
        <i/>
        <sz val="11"/>
        <color indexed="8"/>
        <rFont val="Arial"/>
        <family val="2"/>
      </rPr>
      <t xml:space="preserve"> </t>
    </r>
    <r>
      <rPr>
        <sz val="11"/>
        <color indexed="8"/>
        <rFont val="Arial"/>
        <family val="2"/>
      </rPr>
      <t xml:space="preserve">de la subvención. No incluye las sumas para honorarios, gastos de gestión, gastos operativos, etc.
</t>
    </r>
    <r>
      <rPr>
        <b/>
        <sz val="11"/>
        <color indexed="8"/>
        <rFont val="Arial"/>
        <family val="2"/>
      </rPr>
      <t>Obligaciones acumuladas:</t>
    </r>
    <r>
      <rPr>
        <sz val="11"/>
        <color indexed="8"/>
        <rFont val="Arial"/>
        <family val="2"/>
      </rPr>
      <t xml:space="preserve"> Total de todos los pedidos realizados y sumas de dinero comprometidas para estas compras por parte del RP </t>
    </r>
    <r>
      <rPr>
        <b/>
        <i/>
        <sz val="11"/>
        <color indexed="8"/>
        <rFont val="Arial"/>
        <family val="2"/>
      </rPr>
      <t xml:space="preserve">hasta </t>
    </r>
    <r>
      <rPr>
        <sz val="11"/>
        <color indexed="8"/>
        <rFont val="Arial"/>
        <family val="2"/>
      </rPr>
      <t xml:space="preserve">el periodo de referencia del cuadro de mando inclusive. Lo ideal es que, al final de la fase, el presupuesto iguale a las obligaciones.
</t>
    </r>
    <r>
      <rPr>
        <b/>
        <sz val="11"/>
        <color indexed="8"/>
        <rFont val="Arial"/>
        <family val="2"/>
      </rPr>
      <t>Gasto acumulado:</t>
    </r>
    <r>
      <rPr>
        <sz val="11"/>
        <color indexed="8"/>
        <rFont val="Arial"/>
        <family val="2"/>
      </rPr>
      <t xml:space="preserve"> Total del gasto real en las categorías 4 y 5 </t>
    </r>
    <r>
      <rPr>
        <b/>
        <i/>
        <sz val="11"/>
        <color indexed="8"/>
        <rFont val="Arial"/>
        <family val="2"/>
      </rPr>
      <t>hasta</t>
    </r>
    <r>
      <rPr>
        <sz val="11"/>
        <color indexed="8"/>
        <rFont val="Arial"/>
        <family val="2"/>
      </rPr>
      <t xml:space="preserve"> el periodo de referencia del cuadro de mando inclusive (tanto si ha sido pagado por el RP como si ha sido autorizado a ser abonado por otra entidad, como el Fondo Mundial u otro).</t>
    </r>
  </si>
  <si>
    <r>
      <t xml:space="preserve">Nota: </t>
    </r>
    <r>
      <rPr>
        <sz val="11"/>
        <color indexed="8"/>
        <rFont val="Arial"/>
        <family val="2"/>
      </rPr>
      <t xml:space="preserve">La categoría 6 de los Informes Financieros Mejorados no será considerada como parte del presupuesto de productos farmacéuticos. La categoría 6 tiene diversos gastos que resultan difíciles de separar o cuantificar, tales como gastos de depósito, costos de distribución (especialmente cuando la distribución es realizada por los Ministerios de Sanidad) y otros relacionados con los costos operativos de la gestión de adquisición y suministro. </t>
    </r>
  </si>
  <si>
    <t xml:space="preserve">Este indicador es un reflejo de la diferencia entre el nivel de existencias actuales (o del último mes) de un producto específico (combinaciones en dosis fija de medicamentos, mosquitero, equipos de diagnóstico, etc.) de una dosis determinada, expresada en necesidades mensuales (número de meses de tratamiento disponible) para todos los pacientes del programa y las existencias de seguridad o de regulación (también expresado en meses) según se establece en el programa de la enfermedad, el sistema de almacenamiento o el programa de medicamentos esenciales, para el determinado producto o dosis.  
La tabla mostrará la diferencia de los meses en colores:
• ROJO: cuando la diferencia es negativa o 0 y muestra que los meses de las existencias actuales son inferiores o iguales a los que han sido establecidos como meses de existencias de seguridad
• AMARILLO: cuando disponemos de más que el nivel de existencias de seguridad (&gt;0), pero menos de 3 meses (+3).
• VERDE: cuando la diferencia es entre 3 y 18 meses.
• VIOLETA: Cuando la diferencia muestra que el nivel sobre las existencias de seguridad es mayor o igual a 18 meses, lo que indica un posible problema de excedentes de existencias.
Para ver una descripción completa de la forma de cálculo de este indicador, consulte el Manual de Usuario.
</t>
  </si>
  <si>
    <t>Periodo Actual</t>
  </si>
  <si>
    <t>Periodo Anterior</t>
  </si>
  <si>
    <t>Último desembolso de fondos: Días calendario</t>
  </si>
  <si>
    <t>Gasto RP + desembolso a SRs</t>
  </si>
  <si>
    <t>Periodo:</t>
  </si>
  <si>
    <t>M5: Presupuesto y compra de productos y equipo sanitario, medicamentos y productos farmacéuticos</t>
  </si>
  <si>
    <t>¿Están las adquisiciones y contrataciones ejecutándose en el tiempo previsto?</t>
  </si>
  <si>
    <t>M3</t>
  </si>
  <si>
    <t>M4</t>
  </si>
  <si>
    <t>M5</t>
  </si>
  <si>
    <t>M6</t>
  </si>
  <si>
    <t>% del presupuesto desembolsado</t>
  </si>
  <si>
    <t>Principales recomendaciones del Comité de Monitoreo Estratégico</t>
  </si>
  <si>
    <t>Acciones programadas / Periodo anterior</t>
  </si>
  <si>
    <t>¿Cuál es el estado general de la ejecución de estas acciones?</t>
  </si>
  <si>
    <t>Producto 1</t>
  </si>
  <si>
    <t>Producto 2</t>
  </si>
  <si>
    <t>Producto 3</t>
  </si>
  <si>
    <t>VIH / SIDA</t>
  </si>
  <si>
    <t>VIHSIDA / TB</t>
  </si>
  <si>
    <t>FSS</t>
  </si>
  <si>
    <t>1830 PER-H-CARE</t>
  </si>
  <si>
    <t>CARE PERU</t>
  </si>
  <si>
    <t>1 julio de 2019</t>
  </si>
  <si>
    <t>Expansión de la Respuesta Nacional al VIH en poblaciones clave y vulnerables de ámbitos urbanos y amazónicos del Perú</t>
  </si>
  <si>
    <t>MÓDULO 1: Programas de prevención integral para hombres que tienen relaciones sexuales con otros hombres (HSH).</t>
  </si>
  <si>
    <t>MÓDULO 2: Programas de prevención integral en mujeres transgénero (MT)</t>
  </si>
  <si>
    <t>MÓDULO 3: Tratamiento, atención y apoyo.</t>
  </si>
  <si>
    <t>MÓDULO 4: Coinfección TB/VIH</t>
  </si>
  <si>
    <t>MÓDULO 5: SSRS:  Respuestas y sistemas comunitarios</t>
  </si>
  <si>
    <t>MÓDULO 6: SSRS: Sistemas de información en salud y monitoreo y evaluación</t>
  </si>
  <si>
    <t>MÓDULO 7: Gestión de programas</t>
  </si>
  <si>
    <t>-</t>
  </si>
  <si>
    <t>TCS-7</t>
  </si>
  <si>
    <t>Alwin De Greeff</t>
  </si>
  <si>
    <t>Porcentaje de hombres que tienen relaciones sexuales con hombres que se han sometido a pruebas de VIH durante el período de informe y conocen los resultados</t>
  </si>
  <si>
    <t>Porcentaje de personas transgénero que se han sometido a pruebas de VIH durante el período de informe y conocen los resultados</t>
  </si>
  <si>
    <t>Porcentaje de personas que viven con el VIH  que actualmente reciben tratamiento antirretroviral</t>
  </si>
  <si>
    <t>Porcentaje de casos de TB nuevos y recaídas VIH+ en TARV durante el tratamiento para la tuberculosis</t>
  </si>
  <si>
    <t>Porcentaje de nuevas personas diagnosticadas con VIH que son vinculadas a la atención (vinculación individual)</t>
  </si>
  <si>
    <t>KP-3a(M)</t>
  </si>
  <si>
    <t>KP-3b(M)</t>
  </si>
  <si>
    <t>TCS-1(M)</t>
  </si>
  <si>
    <t>TB/HIV-6(M)</t>
  </si>
  <si>
    <t>Porcentaje de HSH y MT que se han sometido a pruebas de VIH durante el período de informe y conocen los resultados en las BMU por regiones</t>
  </si>
  <si>
    <t>Porcentaje de HSH/MT tamizados por MCC según metas acordadas</t>
  </si>
  <si>
    <t>Porcentaje de PVV que inicia TAR por MCC según metas acordadas</t>
  </si>
  <si>
    <t>Porcentaje de PVV que reciben TPTB</t>
  </si>
  <si>
    <t xml:space="preserve">Porcentaje de TB/VIH con éxito de tratamiento </t>
  </si>
  <si>
    <t>El resultado alcanzado corresponde al registro extraído de la App Móvil BMU (2,695 HSH y 282 MT), para el semestre I-2020. Según listado innominado, se registran ingresos hasta quincena de marzo, coinicidiendo con el inicio del estado de inmovilización social decretado por el Estado a causa de la pandemia del COVID19.
En comparación con el semestre II-2019, la meta alcanzada representa el 42% de lo alcanzado en el mencionado periodo (6,225 HSH y 714 MT),  evidenciando el impacto de la restricciones de salidas de las BMU.</t>
  </si>
  <si>
    <t>La meta para el tamizaje de MCC se estimó en 2,160 tamizajes en el primer trimestre 2020 (enero:35, febrero:50 y marzo:50); y 3 personas con inicio de TAR por cada MCC, siendo la meta para este periodo de 48 personas con inicio TAR (32 HSH y 16 MT); de abril en adelante, debido al estado de inmovilización por la pandemia del COVID 19, se plantearon metas acorde al trabajo remoto realizado por los MCC en consistencia con la imposibilidad de las salidas a campo, siendo estas actividades: capacitaciones remotas, refuerzo de la adherencia al tratamiento a través de medios virtuales y apoyo para el recojo de medicamentos.</t>
  </si>
  <si>
    <t xml:space="preserve">Meta anual (2020) programada: 30.5% (N: 78,544/D: 256,692) </t>
  </si>
  <si>
    <t xml:space="preserve">Meta anual (2020) programada: 81.7 % (N:  59,452 /D: 72,735) </t>
  </si>
  <si>
    <t xml:space="preserve">Meta anual (2020) programada: 25.9 % (N:  8,979 /D: 34,558) </t>
  </si>
  <si>
    <t xml:space="preserve">Meta anual (2020) programada: 62.2 % (N:  1,183 /D: 1,900) </t>
  </si>
  <si>
    <t xml:space="preserve">Meta anual (2020) programada: 84.2 % (N:  4,700 /D: 5,578)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</si>
</sst>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s>
  <fonts count="138">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i/>
      <sz val="11"/>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sz val="12"/>
      <color indexed="9"/>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b/>
      <sz val="10"/>
      <color indexed="16"/>
      <name val="Arial"/>
      <family val="2"/>
    </font>
    <font>
      <sz val="11"/>
      <color indexed="16"/>
      <name val="Arial Black"/>
      <family val="2"/>
    </font>
    <font>
      <b/>
      <sz val="14"/>
      <color indexed="16"/>
      <name val="Calibri"/>
      <family val="2"/>
    </font>
    <font>
      <sz val="9"/>
      <color indexed="16"/>
      <name val="Verdana"/>
      <family val="2"/>
    </font>
    <font>
      <b/>
      <sz val="10"/>
      <color indexed="16"/>
      <name val="Verdana"/>
      <family val="2"/>
    </font>
    <font>
      <b/>
      <sz val="14"/>
      <color indexed="44"/>
      <name val="Calibri"/>
      <family val="2"/>
    </font>
    <font>
      <b/>
      <i/>
      <sz val="14"/>
      <color indexed="12"/>
      <name val="Calibri"/>
      <family val="2"/>
    </font>
    <font>
      <sz val="7"/>
      <color indexed="16"/>
      <name val="Calibri"/>
      <family val="2"/>
    </font>
    <font>
      <i/>
      <sz val="9"/>
      <color indexed="8"/>
      <name val="Calibri"/>
      <family val="2"/>
    </font>
    <font>
      <sz val="11"/>
      <color indexed="53"/>
      <name val="Calibri"/>
      <family val="2"/>
    </font>
    <font>
      <sz val="11"/>
      <color indexed="9"/>
      <name val="Calibri"/>
      <family val="2"/>
    </font>
    <font>
      <sz val="11"/>
      <color theme="1"/>
      <name val="Calibri"/>
      <family val="2"/>
      <scheme val="minor"/>
    </font>
    <font>
      <b/>
      <sz val="15"/>
      <color theme="3"/>
      <name val="Calibri"/>
      <family val="2"/>
      <scheme val="minor"/>
    </font>
    <font>
      <sz val="11"/>
      <color rgb="FF006100"/>
      <name val="Calibri"/>
      <family val="2"/>
      <scheme val="minor"/>
    </font>
  </fonts>
  <fills count="3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11"/>
        <bgColor indexed="64"/>
      </patternFill>
    </fill>
    <fill>
      <patternFill patternType="solid">
        <fgColor indexed="43"/>
        <bgColor indexed="52"/>
      </patternFill>
    </fill>
    <fill>
      <patternFill patternType="solid">
        <fgColor indexed="65"/>
        <bgColor indexed="64"/>
      </patternFill>
    </fill>
    <fill>
      <patternFill patternType="solid">
        <fgColor indexed="61"/>
        <bgColor indexed="64"/>
      </patternFill>
    </fill>
    <fill>
      <patternFill patternType="gray0625">
        <fgColor indexed="52"/>
        <bgColor indexed="43"/>
      </patternFill>
    </fill>
    <fill>
      <patternFill patternType="gray0625">
        <f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rgb="FFC6EFCE"/>
      </patternFill>
    </fill>
  </fills>
  <borders count="2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right/>
      <top/>
      <bottom style="medium">
        <color indexed="60"/>
      </bottom>
      <diagonal/>
    </border>
    <border>
      <left style="medium">
        <color indexed="16"/>
      </left>
      <right style="thin">
        <color indexed="64"/>
      </right>
      <top style="thin">
        <color indexed="64"/>
      </top>
      <bottom style="thin">
        <color indexed="64"/>
      </bottom>
      <diagonal/>
    </border>
    <border>
      <left/>
      <right/>
      <top/>
      <bottom style="medium">
        <color indexed="12"/>
      </bottom>
      <diagonal/>
    </border>
    <border>
      <left style="thin">
        <color indexed="64"/>
      </left>
      <right style="medium">
        <color indexed="48"/>
      </right>
      <top style="thin">
        <color indexed="64"/>
      </top>
      <bottom style="thin">
        <color indexed="64"/>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indexed="64"/>
      </left>
      <right style="medium">
        <color indexed="51"/>
      </right>
      <top style="thin">
        <color indexed="64"/>
      </top>
      <bottom style="thin">
        <color indexed="64"/>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right style="thick">
        <color indexed="9"/>
      </right>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60"/>
      </left>
      <right/>
      <top style="medium">
        <color indexed="60"/>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16"/>
      </right>
      <top style="thin">
        <color indexed="64"/>
      </top>
      <bottom style="thin">
        <color indexed="64"/>
      </bottom>
      <diagonal/>
    </border>
    <border>
      <left style="thin">
        <color indexed="64"/>
      </left>
      <right style="thin">
        <color indexed="64"/>
      </right>
      <top style="thin">
        <color indexed="64"/>
      </top>
      <bottom style="medium">
        <color indexed="16"/>
      </bottom>
      <diagonal/>
    </border>
    <border>
      <left style="thin">
        <color indexed="64"/>
      </left>
      <right style="medium">
        <color indexed="16"/>
      </right>
      <top style="thin">
        <color indexed="64"/>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thin">
        <color indexed="16"/>
      </left>
      <right style="thin">
        <color indexed="16"/>
      </right>
      <top style="thin">
        <color indexed="16"/>
      </top>
      <bottom/>
      <diagonal/>
    </border>
    <border>
      <left style="thin">
        <color indexed="64"/>
      </left>
      <right style="medium">
        <color indexed="60"/>
      </right>
      <top style="thin">
        <color indexed="64"/>
      </top>
      <bottom style="thin">
        <color indexed="64"/>
      </bottom>
      <diagonal/>
    </border>
    <border>
      <left style="thin">
        <color indexed="64"/>
      </left>
      <right style="thin">
        <color indexed="64"/>
      </right>
      <top style="thin">
        <color indexed="64"/>
      </top>
      <bottom style="medium">
        <color indexed="60"/>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16"/>
      </left>
      <right style="medium">
        <color indexed="51"/>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right style="medium">
        <color indexed="60"/>
      </right>
      <top style="medium">
        <color indexed="60"/>
      </top>
      <bottom/>
      <diagonal/>
    </border>
    <border>
      <left style="thin">
        <color indexed="64"/>
      </left>
      <right style="thin">
        <color indexed="64"/>
      </right>
      <top style="thin">
        <color indexed="64"/>
      </top>
      <bottom style="medium">
        <color indexed="51"/>
      </bottom>
      <diagonal/>
    </border>
    <border>
      <left style="hair">
        <color indexed="57"/>
      </left>
      <right style="hair">
        <color indexed="57"/>
      </right>
      <top style="medium">
        <color indexed="57"/>
      </top>
      <bottom style="medium">
        <color indexed="57"/>
      </bottom>
      <diagonal/>
    </border>
    <border>
      <left style="thin">
        <color indexed="64"/>
      </left>
      <right/>
      <top/>
      <bottom/>
      <diagonal/>
    </border>
    <border>
      <left style="medium">
        <color indexed="60"/>
      </left>
      <right style="thin">
        <color indexed="60"/>
      </right>
      <top style="medium">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medium">
        <color indexed="60"/>
      </top>
      <bottom style="thin">
        <color indexed="64"/>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16"/>
      </left>
      <right style="thin">
        <color indexed="64"/>
      </right>
      <top style="thin">
        <color indexed="64"/>
      </top>
      <bottom style="medium">
        <color indexed="16"/>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51"/>
      </left>
      <right style="medium">
        <color indexed="51"/>
      </right>
      <top style="medium">
        <color indexed="5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right style="thin">
        <color indexed="64"/>
      </right>
      <top style="medium">
        <color indexed="51"/>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51"/>
      </bottom>
      <diagonal/>
    </border>
    <border>
      <left style="medium">
        <color indexed="51"/>
      </left>
      <right/>
      <top/>
      <bottom style="thin">
        <color indexed="64"/>
      </bottom>
      <diagonal/>
    </border>
    <border>
      <left/>
      <right/>
      <top/>
      <bottom style="thin">
        <color indexed="64"/>
      </bottom>
      <diagonal/>
    </border>
    <border>
      <left style="medium">
        <color indexed="51"/>
      </left>
      <right style="medium">
        <color indexed="51"/>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51"/>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51"/>
      </right>
      <top style="thin">
        <color indexed="64"/>
      </top>
      <bottom style="medium">
        <color indexed="51"/>
      </bottom>
      <diagonal/>
    </border>
    <border>
      <left style="medium">
        <color indexed="16"/>
      </left>
      <right style="thin">
        <color indexed="16"/>
      </right>
      <top style="thin">
        <color indexed="16"/>
      </top>
      <bottom style="thin">
        <color indexed="16"/>
      </bottom>
      <diagonal/>
    </border>
    <border>
      <left style="medium">
        <color indexed="48"/>
      </left>
      <right style="thin">
        <color indexed="64"/>
      </right>
      <top style="thin">
        <color indexed="64"/>
      </top>
      <bottom style="medium">
        <color indexed="48"/>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16"/>
      </left>
      <right style="medium">
        <color indexed="16"/>
      </right>
      <top style="medium">
        <color indexed="16"/>
      </top>
      <bottom style="thin">
        <color indexed="16"/>
      </bottom>
      <diagonal/>
    </border>
    <border>
      <left style="medium">
        <color indexed="16"/>
      </left>
      <right style="thin">
        <color indexed="16"/>
      </right>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48"/>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indexed="64"/>
      </right>
      <top/>
      <bottom style="thin">
        <color indexed="64"/>
      </bottom>
      <diagonal/>
    </border>
    <border>
      <left style="medium">
        <color indexed="51"/>
      </left>
      <right style="thin">
        <color indexed="64"/>
      </right>
      <top style="thin">
        <color indexed="64"/>
      </top>
      <bottom style="thin">
        <color indexed="64"/>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51"/>
      </left>
      <right style="medium">
        <color indexed="51"/>
      </right>
      <top style="thin">
        <color indexed="64"/>
      </top>
      <bottom style="thin">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right style="thin">
        <color indexed="64"/>
      </right>
      <top/>
      <bottom/>
      <diagonal/>
    </border>
    <border>
      <left style="medium">
        <color indexed="51"/>
      </left>
      <right/>
      <top style="thin">
        <color indexed="64"/>
      </top>
      <bottom style="thin">
        <color indexed="64"/>
      </bottom>
      <diagonal/>
    </border>
    <border>
      <left/>
      <right style="medium">
        <color indexed="51"/>
      </right>
      <top style="thin">
        <color indexed="64"/>
      </top>
      <bottom style="thin">
        <color indexed="64"/>
      </bottom>
      <diagonal/>
    </border>
    <border>
      <left style="medium">
        <color indexed="51"/>
      </left>
      <right/>
      <top style="thin">
        <color indexed="64"/>
      </top>
      <bottom style="medium">
        <color indexed="51"/>
      </bottom>
      <diagonal/>
    </border>
    <border>
      <left/>
      <right/>
      <top style="thin">
        <color indexed="64"/>
      </top>
      <bottom style="medium">
        <color indexed="51"/>
      </bottom>
      <diagonal/>
    </border>
    <border>
      <left/>
      <right style="medium">
        <color indexed="51"/>
      </right>
      <top style="thin">
        <color indexed="64"/>
      </top>
      <bottom style="medium">
        <color indexed="51"/>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51"/>
      </left>
      <right style="thin">
        <color indexed="64"/>
      </right>
      <top style="thin">
        <color indexed="64"/>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1"/>
      </left>
      <right style="medium">
        <color indexed="51"/>
      </right>
      <top style="thin">
        <color indexed="64"/>
      </top>
      <bottom style="medium">
        <color indexed="51"/>
      </bottom>
      <diagonal/>
    </border>
    <border>
      <left/>
      <right style="thin">
        <color indexed="64"/>
      </right>
      <top style="thin">
        <color indexed="64"/>
      </top>
      <bottom style="medium">
        <color indexed="5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9"/>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51"/>
      </right>
      <top style="hair">
        <color indexed="64"/>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64"/>
      </left>
      <right style="hair">
        <color indexed="64"/>
      </right>
      <top style="hair">
        <color indexed="64"/>
      </top>
      <bottom style="hair">
        <color indexed="64"/>
      </bottom>
      <diagonal/>
    </border>
    <border>
      <left style="hair">
        <color indexed="57"/>
      </left>
      <right style="medium">
        <color indexed="57"/>
      </right>
      <top style="medium">
        <color indexed="57"/>
      </top>
      <bottom style="medium">
        <color indexed="57"/>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hair">
        <color indexed="64"/>
      </right>
      <top/>
      <bottom style="hair">
        <color indexed="64"/>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indexed="64"/>
      </left>
      <right style="hair">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thick">
        <color theme="4"/>
      </bottom>
      <diagonal/>
    </border>
  </borders>
  <cellStyleXfs count="6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164" fontId="3" fillId="0" borderId="0" applyFont="0" applyFill="0" applyBorder="0" applyAlignment="0" applyProtection="0"/>
    <xf numFmtId="164" fontId="2" fillId="0" borderId="0" applyFill="0" applyBorder="0" applyAlignment="0" applyProtection="0"/>
    <xf numFmtId="43" fontId="135" fillId="0" borderId="0" applyFont="0" applyFill="0" applyBorder="0" applyAlignment="0" applyProtection="0"/>
    <xf numFmtId="164"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xf numFmtId="164" fontId="1" fillId="0" borderId="0"/>
    <xf numFmtId="164" fontId="1" fillId="0" borderId="0"/>
    <xf numFmtId="164" fontId="135" fillId="0" borderId="0"/>
    <xf numFmtId="164" fontId="135" fillId="0" borderId="0"/>
    <xf numFmtId="164" fontId="135" fillId="0" borderId="0"/>
    <xf numFmtId="164" fontId="135"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164" fontId="135" fillId="0" borderId="9" applyNumberFormat="0" applyFill="0" applyAlignment="0" applyProtection="0"/>
    <xf numFmtId="164" fontId="1" fillId="0" borderId="9" applyNumberFormat="0" applyFill="0" applyAlignment="0" applyProtection="0"/>
    <xf numFmtId="164" fontId="1" fillId="0" borderId="9" applyNumberFormat="0" applyFill="0" applyAlignment="0" applyProtection="0"/>
    <xf numFmtId="164" fontId="135" fillId="0" borderId="9" applyNumberFormat="0" applyFill="0" applyAlignment="0" applyProtection="0"/>
    <xf numFmtId="0" fontId="76" fillId="0" borderId="0" applyNumberFormat="0" applyFill="0" applyBorder="0" applyAlignment="0" applyProtection="0"/>
    <xf numFmtId="0" fontId="136" fillId="0" borderId="239" applyNumberFormat="0" applyFill="0" applyAlignment="0" applyProtection="0"/>
    <xf numFmtId="0" fontId="137" fillId="37" borderId="0" applyNumberFormat="0" applyBorder="0" applyAlignment="0" applyProtection="0"/>
  </cellStyleXfs>
  <cellXfs count="906">
    <xf numFmtId="0" fontId="0" fillId="0" borderId="0" xfId="0"/>
    <xf numFmtId="164" fontId="16" fillId="0" borderId="0" xfId="40" applyFont="1" applyFill="1" applyAlignment="1">
      <alignment vertical="center"/>
    </xf>
    <xf numFmtId="0" fontId="0" fillId="0" borderId="0" xfId="0" applyBorder="1" applyProtection="1"/>
    <xf numFmtId="0" fontId="0" fillId="0" borderId="0" xfId="0" applyProtection="1"/>
    <xf numFmtId="164" fontId="22" fillId="0" borderId="0" xfId="40" applyFont="1" applyFill="1" applyAlignment="1" applyProtection="1">
      <alignment vertical="center"/>
    </xf>
    <xf numFmtId="0" fontId="21" fillId="0" borderId="0" xfId="0" applyFont="1" applyProtection="1"/>
    <xf numFmtId="164" fontId="19" fillId="0" borderId="0" xfId="52" applyFont="1" applyFill="1" applyAlignment="1" applyProtection="1"/>
    <xf numFmtId="164" fontId="19" fillId="0" borderId="0" xfId="52" applyFont="1" applyFill="1" applyAlignment="1" applyProtection="1">
      <alignment horizontal="center"/>
    </xf>
    <xf numFmtId="164" fontId="19" fillId="0" borderId="0" xfId="52" applyFont="1" applyFill="1" applyAlignment="1" applyProtection="1">
      <alignment horizontal="right"/>
    </xf>
    <xf numFmtId="164" fontId="19" fillId="0" borderId="0" xfId="52" applyFont="1" applyFill="1" applyBorder="1" applyAlignment="1" applyProtection="1">
      <alignment horizontal="center"/>
    </xf>
    <xf numFmtId="164" fontId="135" fillId="0" borderId="0" xfId="51" applyProtection="1"/>
    <xf numFmtId="164" fontId="15" fillId="0" borderId="0" xfId="51" applyFont="1" applyProtection="1"/>
    <xf numFmtId="0" fontId="18" fillId="0" borderId="0" xfId="51" applyNumberFormat="1" applyFont="1" applyBorder="1" applyProtection="1"/>
    <xf numFmtId="164" fontId="135" fillId="0" borderId="0" xfId="53" applyProtection="1"/>
    <xf numFmtId="164" fontId="135" fillId="0" borderId="0" xfId="53" applyFill="1" applyBorder="1" applyAlignment="1" applyProtection="1">
      <alignment horizontal="left"/>
    </xf>
    <xf numFmtId="0" fontId="0" fillId="0" borderId="0" xfId="0" applyFill="1" applyBorder="1" applyProtection="1"/>
    <xf numFmtId="164" fontId="135" fillId="0" borderId="0" xfId="53" applyFill="1" applyBorder="1" applyProtection="1"/>
    <xf numFmtId="0" fontId="15" fillId="0" borderId="0" xfId="0" applyFont="1" applyProtection="1"/>
    <xf numFmtId="164" fontId="15" fillId="0" borderId="0" xfId="53"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4" fontId="28" fillId="0" borderId="0" xfId="0" applyNumberFormat="1" applyFont="1"/>
    <xf numFmtId="164" fontId="28" fillId="0" borderId="0" xfId="0" applyNumberFormat="1" applyFont="1" applyAlignment="1">
      <alignment horizontal="right"/>
    </xf>
    <xf numFmtId="166" fontId="28" fillId="0" borderId="0" xfId="37" applyNumberFormat="1" applyFont="1" applyAlignment="1">
      <alignment horizontal="left"/>
    </xf>
    <xf numFmtId="164" fontId="16" fillId="0" borderId="0" xfId="50"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8" applyNumberFormat="1" applyFont="1" applyFill="1" applyBorder="1" applyAlignment="1">
      <alignment horizontal="center"/>
    </xf>
    <xf numFmtId="10" fontId="6" fillId="0" borderId="0" xfId="58" applyNumberFormat="1" applyFont="1" applyFill="1" applyBorder="1" applyAlignment="1" applyProtection="1">
      <alignment horizontal="center"/>
      <protection locked="0"/>
    </xf>
    <xf numFmtId="164" fontId="28" fillId="0" borderId="0" xfId="0" applyNumberFormat="1" applyFont="1" applyFill="1" applyBorder="1" applyAlignment="1"/>
    <xf numFmtId="164" fontId="135" fillId="0" borderId="0" xfId="63" applyFill="1" applyBorder="1" applyAlignment="1" applyProtection="1">
      <alignment vertical="center"/>
      <protection locked="0"/>
    </xf>
    <xf numFmtId="165"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164" fontId="39" fillId="0" borderId="0" xfId="63" applyFont="1" applyFill="1" applyBorder="1" applyAlignment="1" applyProtection="1">
      <alignment vertical="center"/>
      <protection locked="0"/>
    </xf>
    <xf numFmtId="0" fontId="0" fillId="0" borderId="10" xfId="0" applyBorder="1"/>
    <xf numFmtId="22" fontId="0" fillId="0" borderId="0" xfId="0" applyNumberFormat="1"/>
    <xf numFmtId="2" fontId="0" fillId="0" borderId="0" xfId="0" applyNumberFormat="1" applyFill="1"/>
    <xf numFmtId="2" fontId="135" fillId="0" borderId="0" xfId="60"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4" fontId="69" fillId="0" borderId="0" xfId="51" applyFont="1" applyProtection="1"/>
    <xf numFmtId="164" fontId="69" fillId="0" borderId="0" xfId="53"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164" fontId="69" fillId="0" borderId="10" xfId="53"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37" applyNumberFormat="1" applyFont="1" applyFill="1" applyBorder="1"/>
    <xf numFmtId="9" fontId="15" fillId="20" borderId="11" xfId="58" applyFont="1" applyFill="1" applyBorder="1"/>
    <xf numFmtId="9" fontId="15" fillId="20" borderId="11" xfId="58" applyNumberFormat="1" applyFont="1" applyFill="1" applyBorder="1"/>
    <xf numFmtId="0" fontId="15" fillId="20" borderId="11" xfId="0" applyFont="1" applyFill="1" applyBorder="1"/>
    <xf numFmtId="9" fontId="15" fillId="20" borderId="11" xfId="58" applyFont="1" applyFill="1" applyBorder="1" applyAlignment="1">
      <alignment horizontal="center"/>
    </xf>
    <xf numFmtId="0" fontId="15" fillId="0" borderId="0" xfId="0" applyFont="1"/>
    <xf numFmtId="0" fontId="33" fillId="0" borderId="0" xfId="0" applyFont="1" applyAlignment="1">
      <alignment horizontal="center"/>
    </xf>
    <xf numFmtId="164" fontId="61" fillId="0" borderId="0" xfId="50"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4" fontId="39" fillId="0" borderId="0" xfId="63"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164" fontId="31" fillId="0" borderId="13" xfId="63" applyFont="1" applyBorder="1" applyAlignment="1" applyProtection="1"/>
    <xf numFmtId="164" fontId="135" fillId="0" borderId="13" xfId="63" applyFill="1" applyBorder="1" applyAlignment="1" applyProtection="1">
      <alignment vertical="center"/>
    </xf>
    <xf numFmtId="164" fontId="31" fillId="0" borderId="0" xfId="63" applyFont="1" applyBorder="1" applyAlignment="1" applyProtection="1"/>
    <xf numFmtId="164" fontId="135" fillId="0" borderId="0" xfId="63" applyFill="1" applyBorder="1" applyAlignment="1" applyProtection="1">
      <alignment vertical="center"/>
    </xf>
    <xf numFmtId="164" fontId="3" fillId="0" borderId="0" xfId="63" applyFont="1" applyFill="1" applyBorder="1" applyAlignment="1" applyProtection="1">
      <alignment vertical="center"/>
    </xf>
    <xf numFmtId="166"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8"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4" xfId="0" applyNumberFormat="1" applyFont="1" applyFill="1" applyBorder="1" applyAlignment="1" applyProtection="1"/>
    <xf numFmtId="164" fontId="38" fillId="0" borderId="15" xfId="63" applyFont="1" applyBorder="1" applyAlignment="1" applyProtection="1"/>
    <xf numFmtId="164" fontId="39" fillId="0" borderId="15" xfId="63" applyFont="1" applyFill="1" applyBorder="1" applyAlignment="1" applyProtection="1">
      <alignment vertical="center"/>
    </xf>
    <xf numFmtId="164" fontId="39" fillId="0" borderId="15" xfId="63" applyFont="1" applyFill="1" applyBorder="1" applyAlignment="1" applyProtection="1">
      <alignment horizontal="center" vertical="center"/>
    </xf>
    <xf numFmtId="164" fontId="39" fillId="0" borderId="0" xfId="63" applyFont="1" applyFill="1" applyBorder="1" applyAlignment="1" applyProtection="1">
      <alignment vertical="center"/>
    </xf>
    <xf numFmtId="164" fontId="38" fillId="0" borderId="0" xfId="63" applyFont="1" applyBorder="1" applyAlignment="1" applyProtection="1"/>
    <xf numFmtId="164" fontId="40" fillId="0" borderId="0" xfId="63" applyFont="1" applyFill="1" applyBorder="1" applyAlignment="1" applyProtection="1">
      <alignment vertical="center"/>
    </xf>
    <xf numFmtId="0" fontId="14" fillId="0" borderId="0" xfId="0" applyFont="1" applyBorder="1" applyAlignment="1" applyProtection="1">
      <alignment horizontal="center"/>
    </xf>
    <xf numFmtId="1" fontId="21" fillId="20" borderId="16" xfId="0" applyNumberFormat="1" applyFont="1" applyFill="1" applyBorder="1" applyAlignment="1" applyProtection="1">
      <alignment horizontal="center"/>
    </xf>
    <xf numFmtId="1" fontId="21" fillId="20" borderId="17" xfId="0" applyNumberFormat="1" applyFont="1" applyFill="1" applyBorder="1" applyAlignment="1" applyProtection="1">
      <alignment horizontal="center"/>
    </xf>
    <xf numFmtId="0" fontId="0" fillId="0" borderId="18" xfId="0" applyBorder="1" applyProtection="1"/>
    <xf numFmtId="0" fontId="0" fillId="0" borderId="0" xfId="0" applyFill="1" applyBorder="1" applyAlignment="1" applyProtection="1">
      <alignment horizontal="center" wrapText="1"/>
    </xf>
    <xf numFmtId="164" fontId="100" fillId="0" borderId="0" xfId="37" applyFont="1" applyFill="1" applyBorder="1" applyProtection="1"/>
    <xf numFmtId="164" fontId="0" fillId="0" borderId="0" xfId="0" applyNumberFormat="1" applyFill="1" applyBorder="1" applyProtection="1"/>
    <xf numFmtId="164" fontId="68" fillId="0" borderId="19" xfId="63" applyFont="1" applyFill="1" applyBorder="1" applyAlignment="1" applyProtection="1"/>
    <xf numFmtId="164" fontId="39" fillId="0" borderId="19" xfId="63" applyFont="1" applyFill="1" applyBorder="1" applyAlignment="1" applyProtection="1">
      <alignment vertical="center"/>
    </xf>
    <xf numFmtId="3" fontId="67" fillId="21" borderId="10" xfId="0" applyNumberFormat="1" applyFont="1" applyFill="1" applyBorder="1" applyAlignment="1" applyProtection="1">
      <alignment vertical="center"/>
      <protection locked="0"/>
    </xf>
    <xf numFmtId="3" fontId="67" fillId="21" borderId="20" xfId="0" applyNumberFormat="1" applyFont="1" applyFill="1" applyBorder="1" applyAlignment="1" applyProtection="1">
      <alignment vertical="center"/>
      <protection locked="0"/>
    </xf>
    <xf numFmtId="164" fontId="28" fillId="0" borderId="0" xfId="0" applyNumberFormat="1" applyFont="1" applyAlignment="1" applyProtection="1">
      <alignment horizontal="right"/>
    </xf>
    <xf numFmtId="166" fontId="28" fillId="0" borderId="0" xfId="37"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4" fontId="28" fillId="0" borderId="0" xfId="0" applyNumberFormat="1" applyFont="1" applyProtection="1"/>
    <xf numFmtId="164" fontId="28" fillId="0" borderId="0" xfId="0" applyNumberFormat="1" applyFont="1" applyBorder="1" applyProtection="1"/>
    <xf numFmtId="164" fontId="28" fillId="0" borderId="0" xfId="0" applyNumberFormat="1" applyFont="1" applyBorder="1" applyAlignment="1" applyProtection="1">
      <alignment horizontal="right"/>
    </xf>
    <xf numFmtId="166" fontId="28" fillId="0" borderId="0" xfId="37"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3" fontId="28" fillId="0" borderId="10"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7"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9"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8" fontId="52" fillId="20" borderId="0" xfId="58"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21" xfId="0" applyNumberFormat="1" applyFont="1" applyFill="1" applyBorder="1" applyAlignment="1" applyProtection="1">
      <alignment horizontal="right"/>
    </xf>
    <xf numFmtId="0" fontId="53" fillId="0" borderId="22" xfId="0" applyNumberFormat="1" applyFont="1" applyFill="1" applyBorder="1" applyAlignment="1" applyProtection="1">
      <alignment horizontal="right"/>
    </xf>
    <xf numFmtId="0" fontId="53" fillId="0" borderId="23"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24" xfId="0" applyNumberFormat="1" applyFont="1" applyFill="1" applyBorder="1" applyAlignment="1" applyProtection="1">
      <alignment horizontal="right"/>
    </xf>
    <xf numFmtId="9" fontId="55" fillId="0" borderId="0" xfId="0" applyNumberFormat="1" applyFont="1" applyFill="1" applyBorder="1" applyProtection="1"/>
    <xf numFmtId="0" fontId="53" fillId="0" borderId="25" xfId="0" applyNumberFormat="1" applyFont="1" applyFill="1" applyBorder="1" applyAlignment="1" applyProtection="1">
      <alignment horizontal="right"/>
    </xf>
    <xf numFmtId="0" fontId="53" fillId="0" borderId="26" xfId="0" applyNumberFormat="1" applyFont="1" applyFill="1" applyBorder="1" applyAlignment="1" applyProtection="1">
      <alignment horizontal="right"/>
    </xf>
    <xf numFmtId="0" fontId="34" fillId="0" borderId="27" xfId="0" applyNumberFormat="1" applyFont="1" applyFill="1" applyBorder="1" applyAlignment="1" applyProtection="1">
      <alignment vertical="center"/>
    </xf>
    <xf numFmtId="0" fontId="34" fillId="0" borderId="28" xfId="0" applyNumberFormat="1" applyFont="1" applyFill="1" applyBorder="1" applyAlignment="1" applyProtection="1">
      <alignment vertical="center"/>
    </xf>
    <xf numFmtId="0" fontId="34" fillId="0" borderId="29"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4"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4" fontId="0" fillId="0" borderId="0" xfId="0" applyNumberFormat="1" applyAlignment="1" applyProtection="1">
      <alignment horizontal="right"/>
    </xf>
    <xf numFmtId="3" fontId="0" fillId="0" borderId="0" xfId="0" applyNumberFormat="1" applyProtection="1"/>
    <xf numFmtId="164" fontId="37" fillId="0" borderId="0" xfId="0" applyNumberFormat="1" applyFont="1" applyBorder="1" applyProtection="1"/>
    <xf numFmtId="166" fontId="6" fillId="0" borderId="0" xfId="37" applyNumberFormat="1" applyFont="1" applyFill="1" applyBorder="1" applyAlignment="1" applyProtection="1">
      <protection locked="0"/>
    </xf>
    <xf numFmtId="166" fontId="6" fillId="0" borderId="0" xfId="37"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0" fillId="0" borderId="30" xfId="0" applyBorder="1" applyProtection="1"/>
    <xf numFmtId="164" fontId="17" fillId="0" borderId="0" xfId="48" applyFont="1" applyFill="1" applyAlignment="1" applyProtection="1">
      <alignment horizontal="center" vertical="center"/>
    </xf>
    <xf numFmtId="164" fontId="16" fillId="0" borderId="0" xfId="48" applyFont="1" applyFill="1" applyAlignment="1" applyProtection="1">
      <alignment vertical="center"/>
    </xf>
    <xf numFmtId="0" fontId="84" fillId="0" borderId="0" xfId="0" applyFont="1"/>
    <xf numFmtId="164" fontId="14" fillId="0" borderId="0" xfId="0" applyNumberFormat="1" applyFont="1" applyAlignment="1" applyProtection="1">
      <alignment horizontal="center"/>
    </xf>
    <xf numFmtId="164" fontId="20" fillId="0" borderId="31" xfId="60" applyFont="1" applyBorder="1" applyAlignment="1" applyProtection="1">
      <alignment horizontal="right"/>
    </xf>
    <xf numFmtId="0" fontId="12" fillId="0" borderId="0" xfId="0" applyFont="1"/>
    <xf numFmtId="0" fontId="0" fillId="20" borderId="0" xfId="0" applyFill="1" applyProtection="1"/>
    <xf numFmtId="0" fontId="0" fillId="20" borderId="32" xfId="0" applyFill="1" applyBorder="1" applyProtection="1"/>
    <xf numFmtId="164" fontId="90" fillId="0" borderId="0" xfId="0" applyNumberFormat="1" applyFont="1"/>
    <xf numFmtId="0" fontId="90" fillId="0" borderId="0" xfId="0" applyFont="1"/>
    <xf numFmtId="164" fontId="0" fillId="0" borderId="0" xfId="0" quotePrefix="1" applyNumberFormat="1"/>
    <xf numFmtId="164" fontId="0" fillId="0" borderId="0" xfId="0" applyNumberFormat="1"/>
    <xf numFmtId="0" fontId="34" fillId="0" borderId="33" xfId="0" applyNumberFormat="1" applyFont="1" applyFill="1" applyBorder="1" applyAlignment="1" applyProtection="1">
      <alignment vertical="center"/>
    </xf>
    <xf numFmtId="164" fontId="135" fillId="0" borderId="0" xfId="54" applyFill="1" applyBorder="1" applyAlignment="1" applyProtection="1">
      <alignment horizontal="center"/>
    </xf>
    <xf numFmtId="0" fontId="34" fillId="0" borderId="0" xfId="0" quotePrefix="1" applyFont="1" applyProtection="1"/>
    <xf numFmtId="0" fontId="63" fillId="0" borderId="34" xfId="0" applyFont="1" applyBorder="1" applyAlignment="1">
      <alignment horizontal="justify" vertical="center" wrapText="1"/>
    </xf>
    <xf numFmtId="0" fontId="63" fillId="0" borderId="35" xfId="0" applyFont="1" applyBorder="1" applyAlignment="1">
      <alignment horizontal="justify" vertical="center" wrapText="1"/>
    </xf>
    <xf numFmtId="0" fontId="63" fillId="0" borderId="36" xfId="0" applyFont="1" applyBorder="1" applyAlignment="1">
      <alignment horizontal="justify" vertical="center" wrapText="1"/>
    </xf>
    <xf numFmtId="0" fontId="89" fillId="0" borderId="35" xfId="0" applyFont="1" applyBorder="1" applyAlignment="1">
      <alignment horizontal="justify" vertical="center" wrapText="1"/>
    </xf>
    <xf numFmtId="164" fontId="92" fillId="0" borderId="19" xfId="63" applyFont="1" applyFill="1" applyBorder="1" applyAlignment="1" applyProtection="1"/>
    <xf numFmtId="164" fontId="9" fillId="0" borderId="19" xfId="63" applyFont="1" applyFill="1" applyBorder="1" applyAlignment="1" applyProtection="1">
      <alignment vertical="center"/>
    </xf>
    <xf numFmtId="0" fontId="88" fillId="0" borderId="34" xfId="0" applyFont="1" applyBorder="1" applyAlignment="1">
      <alignment vertical="center" wrapText="1"/>
    </xf>
    <xf numFmtId="0" fontId="88" fillId="0" borderId="35" xfId="0" applyFont="1" applyBorder="1" applyAlignment="1">
      <alignment vertical="center" wrapText="1"/>
    </xf>
    <xf numFmtId="0" fontId="2" fillId="0" borderId="37" xfId="0" applyFont="1" applyFill="1" applyBorder="1" applyAlignment="1" applyProtection="1">
      <alignment horizontal="center"/>
    </xf>
    <xf numFmtId="0" fontId="1" fillId="0" borderId="0" xfId="0" applyFont="1"/>
    <xf numFmtId="0" fontId="95" fillId="0" borderId="0" xfId="0" applyFont="1"/>
    <xf numFmtId="0" fontId="63" fillId="21" borderId="34" xfId="0" applyFont="1" applyFill="1" applyBorder="1" applyAlignment="1">
      <alignment horizontal="justify" vertical="center" wrapText="1"/>
    </xf>
    <xf numFmtId="0" fontId="89" fillId="21" borderId="35" xfId="0" applyFont="1" applyFill="1" applyBorder="1" applyAlignment="1">
      <alignment horizontal="justify" vertical="center" wrapText="1"/>
    </xf>
    <xf numFmtId="0" fontId="89" fillId="21" borderId="36" xfId="0" applyFont="1" applyFill="1" applyBorder="1" applyAlignment="1">
      <alignment horizontal="justify" vertical="center" wrapText="1"/>
    </xf>
    <xf numFmtId="0" fontId="63" fillId="0" borderId="34" xfId="0" applyFont="1" applyBorder="1" applyAlignment="1" applyProtection="1">
      <alignment horizontal="justify" vertical="center" wrapText="1"/>
      <protection locked="0"/>
    </xf>
    <xf numFmtId="0" fontId="89" fillId="0" borderId="35" xfId="0" applyFont="1" applyBorder="1" applyAlignment="1" applyProtection="1">
      <alignment horizontal="justify" vertical="center" wrapText="1"/>
      <protection locked="0"/>
    </xf>
    <xf numFmtId="0" fontId="89" fillId="0" borderId="36" xfId="0" applyFont="1" applyBorder="1" applyAlignment="1" applyProtection="1">
      <alignment horizontal="justify" vertical="center" wrapText="1"/>
      <protection locked="0"/>
    </xf>
    <xf numFmtId="164" fontId="97" fillId="0" borderId="19" xfId="63"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2" borderId="10" xfId="0" applyNumberFormat="1" applyFont="1" applyFill="1" applyBorder="1" applyAlignment="1" applyProtection="1">
      <alignment horizontal="center"/>
      <protection locked="0"/>
    </xf>
    <xf numFmtId="1" fontId="21" fillId="22" borderId="38" xfId="0" applyNumberFormat="1" applyFont="1" applyFill="1" applyBorder="1" applyAlignment="1" applyProtection="1">
      <alignment horizontal="center"/>
      <protection locked="0"/>
    </xf>
    <xf numFmtId="1" fontId="0" fillId="22" borderId="10" xfId="0" applyNumberFormat="1" applyFill="1" applyBorder="1" applyAlignment="1" applyProtection="1">
      <alignment horizontal="center"/>
      <protection locked="0"/>
    </xf>
    <xf numFmtId="166" fontId="0" fillId="0" borderId="0" xfId="0" applyNumberFormat="1" applyProtection="1"/>
    <xf numFmtId="0" fontId="63" fillId="0" borderId="34" xfId="0" applyFont="1" applyBorder="1" applyAlignment="1" applyProtection="1">
      <alignment horizontal="left" vertical="center" wrapText="1"/>
      <protection locked="0"/>
    </xf>
    <xf numFmtId="0" fontId="63" fillId="0" borderId="35" xfId="0" applyFont="1" applyBorder="1" applyAlignment="1" applyProtection="1">
      <alignment horizontal="left" vertical="center" wrapText="1"/>
      <protection locked="0"/>
    </xf>
    <xf numFmtId="0" fontId="63" fillId="0" borderId="36" xfId="0" applyFont="1" applyBorder="1" applyAlignment="1" applyProtection="1">
      <alignment horizontal="left" vertical="center" wrapText="1"/>
      <protection locked="0"/>
    </xf>
    <xf numFmtId="164" fontId="20" fillId="0" borderId="0" xfId="52" applyFont="1" applyFill="1" applyAlignment="1" applyProtection="1">
      <alignment horizontal="right" vertical="center"/>
    </xf>
    <xf numFmtId="0" fontId="102" fillId="0" borderId="0" xfId="0" applyFont="1" applyFill="1" applyBorder="1" applyAlignment="1" applyProtection="1">
      <alignment horizontal="right"/>
    </xf>
    <xf numFmtId="0" fontId="63" fillId="21" borderId="34" xfId="0" applyFont="1" applyFill="1" applyBorder="1" applyAlignment="1">
      <alignment horizontal="left" vertical="center" wrapText="1"/>
    </xf>
    <xf numFmtId="0" fontId="63" fillId="21" borderId="35" xfId="0" applyFont="1" applyFill="1" applyBorder="1" applyAlignment="1">
      <alignment horizontal="left" vertical="center" wrapText="1"/>
    </xf>
    <xf numFmtId="0" fontId="63" fillId="21" borderId="36" xfId="0" applyFont="1" applyFill="1" applyBorder="1" applyAlignment="1">
      <alignment horizontal="left" vertical="center" wrapText="1"/>
    </xf>
    <xf numFmtId="164" fontId="103" fillId="0" borderId="13" xfId="63" applyFont="1" applyFill="1" applyBorder="1" applyAlignment="1" applyProtection="1">
      <alignment horizontal="left" vertical="center"/>
    </xf>
    <xf numFmtId="0" fontId="104" fillId="0" borderId="0" xfId="0" applyFont="1" applyFill="1" applyBorder="1" applyProtection="1"/>
    <xf numFmtId="0" fontId="102" fillId="0" borderId="0" xfId="0" applyFont="1" applyBorder="1" applyProtection="1"/>
    <xf numFmtId="3" fontId="6" fillId="0" borderId="0" xfId="0" applyNumberFormat="1" applyFont="1" applyAlignment="1" applyProtection="1">
      <alignment horizontal="right"/>
    </xf>
    <xf numFmtId="15" fontId="101" fillId="0" borderId="0" xfId="0" applyNumberFormat="1" applyFont="1" applyFill="1" applyBorder="1" applyAlignment="1" applyProtection="1">
      <alignment horizontal="left"/>
    </xf>
    <xf numFmtId="0" fontId="108" fillId="0" borderId="0" xfId="0" applyFont="1" applyFill="1" applyBorder="1" applyAlignment="1" applyProtection="1">
      <alignment horizontal="center" wrapText="1"/>
    </xf>
    <xf numFmtId="0" fontId="102" fillId="0" borderId="0" xfId="0" applyFont="1" applyFill="1" applyBorder="1" applyAlignment="1" applyProtection="1">
      <alignment horizontal="center"/>
    </xf>
    <xf numFmtId="3" fontId="2" fillId="21" borderId="10" xfId="0" applyNumberFormat="1" applyFont="1" applyFill="1" applyBorder="1" applyAlignment="1" applyProtection="1">
      <alignment vertical="center"/>
      <protection locked="0"/>
    </xf>
    <xf numFmtId="0" fontId="0" fillId="0" borderId="0" xfId="0" quotePrefix="1" applyProtection="1"/>
    <xf numFmtId="15" fontId="29" fillId="0" borderId="0" xfId="0" applyNumberFormat="1" applyFont="1" applyFill="1" applyBorder="1" applyAlignment="1" applyProtection="1">
      <alignment horizontal="center" vertical="center" wrapText="1"/>
    </xf>
    <xf numFmtId="0" fontId="114" fillId="0" borderId="0" xfId="0" applyFont="1" applyAlignment="1" applyProtection="1">
      <alignment horizontal="right"/>
    </xf>
    <xf numFmtId="164" fontId="113" fillId="0" borderId="0" xfId="40"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60"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2" fillId="0" borderId="0" xfId="0" applyNumberFormat="1" applyFont="1" applyFill="1" applyBorder="1" applyAlignment="1" applyProtection="1">
      <alignment horizontal="center"/>
    </xf>
    <xf numFmtId="0" fontId="0" fillId="0" borderId="0" xfId="0" applyFill="1" applyBorder="1" applyProtection="1">
      <protection locked="0"/>
    </xf>
    <xf numFmtId="0" fontId="99" fillId="0" borderId="0" xfId="0" applyFont="1" applyFill="1" applyBorder="1" applyAlignment="1" applyProtection="1">
      <alignment horizontal="center" vertical="center"/>
    </xf>
    <xf numFmtId="0" fontId="25" fillId="0" borderId="39" xfId="0" applyFont="1" applyBorder="1" applyAlignment="1" applyProtection="1">
      <alignment vertical="distributed"/>
    </xf>
    <xf numFmtId="0" fontId="6" fillId="0" borderId="0" xfId="0" applyFont="1" applyFill="1" applyBorder="1" applyAlignment="1" applyProtection="1">
      <protection locked="0"/>
    </xf>
    <xf numFmtId="0" fontId="109" fillId="0" borderId="0" xfId="0" applyFont="1" applyFill="1" applyBorder="1" applyAlignment="1" applyProtection="1">
      <alignment horizontal="left"/>
      <protection locked="0"/>
    </xf>
    <xf numFmtId="0" fontId="106" fillId="0" borderId="0" xfId="0" applyFont="1" applyFill="1" applyBorder="1" applyAlignment="1" applyProtection="1">
      <alignment horizontal="center" vertical="center"/>
    </xf>
    <xf numFmtId="0" fontId="32" fillId="23" borderId="40" xfId="0" applyFont="1" applyFill="1" applyBorder="1" applyAlignment="1" applyProtection="1">
      <alignment horizontal="centerContinuous"/>
    </xf>
    <xf numFmtId="0" fontId="37" fillId="0" borderId="41" xfId="0" applyFont="1" applyFill="1" applyBorder="1" applyAlignment="1" applyProtection="1">
      <alignment horizontal="center"/>
    </xf>
    <xf numFmtId="0" fontId="37" fillId="0" borderId="42" xfId="0" applyFont="1" applyFill="1" applyBorder="1" applyAlignment="1" applyProtection="1">
      <alignment horizontal="center"/>
    </xf>
    <xf numFmtId="0" fontId="32" fillId="23" borderId="43"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1" fillId="0" borderId="0" xfId="0" applyFont="1" applyFill="1" applyBorder="1" applyAlignment="1" applyProtection="1">
      <alignment horizontal="center"/>
    </xf>
    <xf numFmtId="0" fontId="107"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16" xfId="0" applyNumberFormat="1" applyFill="1" applyBorder="1" applyAlignment="1" applyProtection="1">
      <alignment horizontal="center"/>
    </xf>
    <xf numFmtId="1" fontId="0" fillId="22" borderId="38" xfId="0" applyNumberFormat="1" applyFill="1" applyBorder="1" applyAlignment="1" applyProtection="1">
      <alignment horizontal="center"/>
      <protection locked="0"/>
    </xf>
    <xf numFmtId="0" fontId="24" fillId="0" borderId="0" xfId="0" applyFont="1" applyProtection="1"/>
    <xf numFmtId="164"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164" fontId="20" fillId="0" borderId="31" xfId="60" applyFont="1" applyFill="1" applyBorder="1" applyAlignment="1" applyProtection="1">
      <alignment horizontal="right"/>
    </xf>
    <xf numFmtId="0" fontId="21" fillId="20" borderId="34" xfId="0" applyFont="1" applyFill="1" applyBorder="1" applyAlignment="1" applyProtection="1"/>
    <xf numFmtId="0" fontId="21" fillId="20" borderId="44" xfId="0" applyFont="1" applyFill="1" applyBorder="1" applyAlignment="1" applyProtection="1"/>
    <xf numFmtId="0" fontId="28" fillId="0" borderId="0" xfId="0" applyFont="1" applyFill="1" applyBorder="1" applyAlignment="1" applyProtection="1">
      <alignment wrapText="1"/>
    </xf>
    <xf numFmtId="164" fontId="28" fillId="0" borderId="0" xfId="0" applyNumberFormat="1" applyFont="1" applyAlignment="1" applyProtection="1"/>
    <xf numFmtId="15" fontId="28" fillId="0" borderId="0" xfId="0" applyNumberFormat="1" applyFont="1"/>
    <xf numFmtId="0" fontId="0" fillId="0" borderId="19" xfId="0" applyFill="1" applyBorder="1" applyProtection="1"/>
    <xf numFmtId="0" fontId="0" fillId="0" borderId="19" xfId="0" applyBorder="1" applyProtection="1"/>
    <xf numFmtId="0" fontId="0" fillId="0" borderId="19" xfId="0" applyBorder="1"/>
    <xf numFmtId="9" fontId="15" fillId="0" borderId="0" xfId="58" applyFont="1" applyProtection="1"/>
    <xf numFmtId="14" fontId="24" fillId="22" borderId="31" xfId="60" applyNumberFormat="1" applyFont="1" applyFill="1" applyBorder="1" applyAlignment="1" applyProtection="1">
      <alignment horizontal="center" vertical="center"/>
    </xf>
    <xf numFmtId="164" fontId="24" fillId="22" borderId="31" xfId="60" applyFont="1" applyFill="1" applyBorder="1" applyAlignment="1" applyProtection="1">
      <alignment horizontal="center" vertical="center"/>
    </xf>
    <xf numFmtId="15" fontId="24" fillId="22" borderId="31" xfId="60" applyNumberFormat="1" applyFont="1" applyFill="1" applyBorder="1" applyAlignment="1" applyProtection="1">
      <alignment horizontal="center" vertical="center"/>
    </xf>
    <xf numFmtId="172" fontId="24" fillId="22" borderId="31" xfId="60" applyNumberFormat="1" applyFont="1" applyFill="1" applyBorder="1" applyAlignment="1" applyProtection="1">
      <alignment horizontal="center"/>
    </xf>
    <xf numFmtId="3" fontId="24" fillId="22" borderId="31" xfId="60" applyNumberFormat="1" applyFont="1" applyFill="1" applyBorder="1" applyAlignment="1" applyProtection="1">
      <alignment horizontal="center"/>
    </xf>
    <xf numFmtId="164" fontId="24" fillId="22" borderId="31" xfId="60" applyFont="1" applyFill="1" applyBorder="1" applyAlignment="1" applyProtection="1">
      <alignment horizontal="center"/>
    </xf>
    <xf numFmtId="15" fontId="24" fillId="22" borderId="31" xfId="60" applyNumberFormat="1" applyFont="1" applyFill="1" applyBorder="1" applyAlignment="1" applyProtection="1">
      <alignment horizontal="center"/>
    </xf>
    <xf numFmtId="164" fontId="90" fillId="0" borderId="0" xfId="0" applyNumberFormat="1" applyFont="1" applyAlignment="1"/>
    <xf numFmtId="49" fontId="0" fillId="0" borderId="0" xfId="0" applyNumberFormat="1" applyProtection="1"/>
    <xf numFmtId="0" fontId="0" fillId="22" borderId="38" xfId="0" applyNumberFormat="1" applyFill="1" applyBorder="1" applyAlignment="1" applyProtection="1">
      <alignment horizontal="center"/>
      <protection locked="0"/>
    </xf>
    <xf numFmtId="0" fontId="0" fillId="0" borderId="17" xfId="0" applyNumberFormat="1" applyFill="1" applyBorder="1" applyAlignment="1" applyProtection="1">
      <alignment horizontal="center"/>
    </xf>
    <xf numFmtId="0" fontId="0" fillId="22" borderId="17" xfId="0" applyNumberFormat="1" applyFill="1" applyBorder="1" applyAlignment="1" applyProtection="1">
      <alignment horizontal="center"/>
      <protection locked="0"/>
    </xf>
    <xf numFmtId="3" fontId="0" fillId="22"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1" fillId="0" borderId="10" xfId="37" applyNumberFormat="1" applyFont="1" applyFill="1" applyBorder="1" applyAlignment="1" applyProtection="1">
      <alignment horizontal="right"/>
    </xf>
    <xf numFmtId="3" fontId="0" fillId="22" borderId="10" xfId="0" applyNumberFormat="1" applyFill="1" applyBorder="1" applyProtection="1">
      <protection locked="0"/>
    </xf>
    <xf numFmtId="3" fontId="0" fillId="0" borderId="10" xfId="0" applyNumberFormat="1" applyFill="1" applyBorder="1" applyProtection="1"/>
    <xf numFmtId="3" fontId="0" fillId="22" borderId="45" xfId="0" applyNumberFormat="1" applyFill="1" applyBorder="1" applyProtection="1">
      <protection locked="0"/>
    </xf>
    <xf numFmtId="171" fontId="21" fillId="20" borderId="0" xfId="0" applyNumberFormat="1" applyFont="1" applyFill="1"/>
    <xf numFmtId="171"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 fontId="0" fillId="23" borderId="10" xfId="0" applyNumberFormat="1" applyFill="1" applyBorder="1" applyAlignment="1" applyProtection="1">
      <alignment horizontal="center"/>
      <protection locked="0"/>
    </xf>
    <xf numFmtId="1" fontId="0" fillId="23" borderId="46" xfId="0" applyNumberFormat="1" applyFill="1" applyBorder="1" applyAlignment="1" applyProtection="1">
      <alignment horizontal="center"/>
      <protection locked="0"/>
    </xf>
    <xf numFmtId="1" fontId="0" fillId="23" borderId="47" xfId="0" applyNumberFormat="1" applyFill="1" applyBorder="1" applyAlignment="1" applyProtection="1">
      <alignment horizontal="center"/>
      <protection locked="0"/>
    </xf>
    <xf numFmtId="1" fontId="0" fillId="23" borderId="48" xfId="0" applyNumberFormat="1" applyFill="1" applyBorder="1" applyAlignment="1" applyProtection="1">
      <alignment horizontal="center"/>
      <protection locked="0"/>
    </xf>
    <xf numFmtId="165" fontId="32" fillId="19" borderId="49" xfId="0" applyNumberFormat="1" applyFont="1" applyFill="1" applyBorder="1" applyAlignment="1" applyProtection="1">
      <alignment horizontal="center"/>
      <protection locked="0"/>
    </xf>
    <xf numFmtId="165" fontId="32" fillId="19" borderId="50" xfId="0" applyNumberFormat="1" applyFont="1" applyFill="1" applyBorder="1" applyAlignment="1" applyProtection="1">
      <alignment horizontal="center"/>
      <protection locked="0"/>
    </xf>
    <xf numFmtId="165" fontId="32" fillId="19" borderId="51" xfId="0" applyNumberFormat="1" applyFont="1" applyFill="1" applyBorder="1" applyAlignment="1" applyProtection="1">
      <alignment horizontal="center"/>
      <protection locked="0"/>
    </xf>
    <xf numFmtId="165" fontId="32" fillId="19" borderId="52" xfId="0" applyNumberFormat="1" applyFont="1" applyFill="1" applyBorder="1" applyAlignment="1" applyProtection="1">
      <alignment horizontal="center"/>
      <protection locked="0"/>
    </xf>
    <xf numFmtId="0" fontId="0" fillId="0" borderId="0" xfId="0" applyBorder="1" applyAlignment="1">
      <alignment horizontal="left" wrapText="1"/>
    </xf>
    <xf numFmtId="164" fontId="35" fillId="0" borderId="0" xfId="0" applyNumberFormat="1" applyFont="1"/>
    <xf numFmtId="0" fontId="0" fillId="0" borderId="0" xfId="0" applyBorder="1" applyAlignment="1">
      <alignment horizontal="left"/>
    </xf>
    <xf numFmtId="164" fontId="1" fillId="0" borderId="31" xfId="60" applyFont="1" applyBorder="1" applyAlignment="1" applyProtection="1">
      <alignment horizontal="right"/>
    </xf>
    <xf numFmtId="164" fontId="121" fillId="0" borderId="0" xfId="53" applyFont="1" applyFill="1" applyBorder="1" applyProtection="1"/>
    <xf numFmtId="3" fontId="28" fillId="23" borderId="49" xfId="0" applyNumberFormat="1" applyFont="1" applyFill="1" applyBorder="1" applyAlignment="1" applyProtection="1">
      <protection locked="0"/>
    </xf>
    <xf numFmtId="3" fontId="28" fillId="23" borderId="53"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47" xfId="0" applyNumberFormat="1" applyFont="1" applyFill="1" applyBorder="1" applyAlignment="1" applyProtection="1"/>
    <xf numFmtId="3" fontId="21" fillId="23" borderId="10" xfId="37" applyNumberFormat="1" applyFont="1" applyFill="1" applyBorder="1" applyAlignment="1" applyProtection="1">
      <protection locked="0"/>
    </xf>
    <xf numFmtId="3" fontId="21" fillId="23" borderId="10" xfId="37" applyNumberFormat="1" applyFont="1" applyFill="1" applyBorder="1" applyProtection="1">
      <protection locked="0"/>
    </xf>
    <xf numFmtId="3" fontId="6" fillId="0" borderId="54" xfId="37" applyNumberFormat="1" applyFont="1" applyFill="1" applyBorder="1" applyAlignment="1" applyProtection="1"/>
    <xf numFmtId="3" fontId="21" fillId="23" borderId="55" xfId="37" applyNumberFormat="1" applyFont="1" applyFill="1" applyBorder="1" applyAlignment="1" applyProtection="1">
      <protection locked="0"/>
    </xf>
    <xf numFmtId="3" fontId="6" fillId="0" borderId="56" xfId="37" applyNumberFormat="1" applyFont="1" applyFill="1" applyBorder="1" applyAlignment="1" applyProtection="1"/>
    <xf numFmtId="165" fontId="14" fillId="19" borderId="57" xfId="0" applyNumberFormat="1" applyFont="1" applyFill="1" applyBorder="1" applyAlignment="1" applyProtection="1">
      <alignment horizontal="center"/>
      <protection locked="0"/>
    </xf>
    <xf numFmtId="165" fontId="14" fillId="19" borderId="58" xfId="0" applyNumberFormat="1" applyFont="1" applyFill="1" applyBorder="1" applyAlignment="1" applyProtection="1">
      <alignment horizontal="center"/>
      <protection locked="0"/>
    </xf>
    <xf numFmtId="0" fontId="0" fillId="23" borderId="10" xfId="0" applyFill="1" applyBorder="1" applyProtection="1"/>
    <xf numFmtId="0" fontId="0" fillId="22" borderId="10" xfId="0" applyFill="1" applyBorder="1" applyProtection="1"/>
    <xf numFmtId="3" fontId="1" fillId="23" borderId="59" xfId="37" applyNumberFormat="1" applyFont="1" applyFill="1" applyBorder="1" applyAlignment="1" applyProtection="1">
      <protection locked="0"/>
    </xf>
    <xf numFmtId="3" fontId="1" fillId="23" borderId="59" xfId="37" applyNumberFormat="1" applyFont="1" applyFill="1" applyBorder="1" applyProtection="1">
      <protection locked="0"/>
    </xf>
    <xf numFmtId="0" fontId="91" fillId="0" borderId="60" xfId="0" applyNumberFormat="1" applyFont="1" applyFill="1" applyBorder="1" applyAlignment="1" applyProtection="1">
      <alignment horizontal="center" vertical="center" wrapText="1"/>
    </xf>
    <xf numFmtId="0" fontId="91" fillId="0" borderId="61" xfId="0" applyNumberFormat="1" applyFont="1" applyFill="1" applyBorder="1" applyAlignment="1" applyProtection="1">
      <alignment horizontal="center" vertical="center" wrapText="1"/>
    </xf>
    <xf numFmtId="3" fontId="1" fillId="23" borderId="62" xfId="37" applyNumberFormat="1" applyFont="1" applyFill="1" applyBorder="1" applyProtection="1">
      <protection locked="0"/>
    </xf>
    <xf numFmtId="49" fontId="26" fillId="0" borderId="63" xfId="0" applyNumberFormat="1" applyFont="1" applyFill="1" applyBorder="1" applyAlignment="1" applyProtection="1">
      <protection locked="0"/>
    </xf>
    <xf numFmtId="0" fontId="26" fillId="0" borderId="63" xfId="0" applyFont="1" applyFill="1" applyBorder="1" applyAlignment="1" applyProtection="1">
      <alignment wrapText="1"/>
      <protection locked="0"/>
    </xf>
    <xf numFmtId="3" fontId="0" fillId="0" borderId="64" xfId="0" applyNumberFormat="1" applyBorder="1" applyProtection="1"/>
    <xf numFmtId="3" fontId="0" fillId="0" borderId="65" xfId="0" applyNumberFormat="1" applyBorder="1" applyProtection="1"/>
    <xf numFmtId="0" fontId="0" fillId="22" borderId="10" xfId="0" applyNumberFormat="1" applyFill="1" applyBorder="1" applyProtection="1">
      <protection locked="0"/>
    </xf>
    <xf numFmtId="0" fontId="0" fillId="0" borderId="10" xfId="0" applyNumberFormat="1" applyFill="1" applyBorder="1" applyProtection="1"/>
    <xf numFmtId="0" fontId="0" fillId="22" borderId="10" xfId="0" applyNumberFormat="1" applyFill="1" applyBorder="1" applyAlignment="1" applyProtection="1">
      <alignment horizontal="center"/>
      <protection locked="0"/>
    </xf>
    <xf numFmtId="49" fontId="0" fillId="22" borderId="45" xfId="0" applyNumberFormat="1" applyFill="1" applyBorder="1" applyAlignment="1" applyProtection="1">
      <alignment horizontal="left"/>
      <protection locked="0"/>
    </xf>
    <xf numFmtId="0" fontId="0" fillId="22" borderId="45" xfId="0" applyNumberFormat="1" applyFill="1" applyBorder="1" applyProtection="1">
      <protection locked="0"/>
    </xf>
    <xf numFmtId="0" fontId="0" fillId="22" borderId="45" xfId="0" applyNumberFormat="1" applyFill="1" applyBorder="1" applyAlignment="1" applyProtection="1">
      <alignment horizontal="center"/>
      <protection locked="0"/>
    </xf>
    <xf numFmtId="164" fontId="135" fillId="23" borderId="66" xfId="63" applyFill="1" applyBorder="1" applyAlignment="1" applyProtection="1">
      <alignment vertical="center"/>
    </xf>
    <xf numFmtId="0" fontId="0" fillId="21" borderId="67" xfId="0" applyFill="1" applyBorder="1"/>
    <xf numFmtId="0" fontId="0" fillId="0" borderId="15" xfId="0" applyBorder="1" applyProtection="1"/>
    <xf numFmtId="164" fontId="39" fillId="22" borderId="68" xfId="63" applyFont="1" applyFill="1" applyBorder="1" applyAlignment="1" applyProtection="1">
      <alignment horizontal="center" vertical="center"/>
    </xf>
    <xf numFmtId="164" fontId="39" fillId="0" borderId="69" xfId="63" applyFont="1" applyFill="1" applyBorder="1" applyAlignment="1" applyProtection="1">
      <alignment vertical="center"/>
    </xf>
    <xf numFmtId="15" fontId="27" fillId="0" borderId="70" xfId="0" applyNumberFormat="1" applyFont="1" applyFill="1" applyBorder="1" applyAlignment="1" applyProtection="1">
      <alignment horizontal="center" vertical="center" wrapText="1"/>
    </xf>
    <xf numFmtId="3" fontId="0" fillId="0" borderId="0" xfId="0" applyNumberFormat="1" applyFill="1" applyBorder="1" applyProtection="1">
      <protection locked="0"/>
    </xf>
    <xf numFmtId="3" fontId="67" fillId="0" borderId="10" xfId="0" applyNumberFormat="1" applyFont="1" applyFill="1" applyBorder="1" applyAlignment="1" applyProtection="1">
      <alignment vertical="center"/>
    </xf>
    <xf numFmtId="3" fontId="67" fillId="0" borderId="71" xfId="0" applyNumberFormat="1" applyFont="1" applyFill="1" applyBorder="1" applyAlignment="1" applyProtection="1">
      <alignment vertical="center"/>
    </xf>
    <xf numFmtId="168" fontId="0" fillId="0" borderId="10" xfId="0" applyNumberFormat="1" applyFill="1" applyBorder="1" applyAlignment="1" applyProtection="1">
      <alignment horizontal="center"/>
    </xf>
    <xf numFmtId="168" fontId="0" fillId="0" borderId="10" xfId="0" applyNumberFormat="1" applyFill="1" applyBorder="1" applyProtection="1"/>
    <xf numFmtId="0" fontId="69" fillId="0" borderId="10" xfId="0" applyFont="1" applyBorder="1" applyAlignment="1" applyProtection="1">
      <alignment horizontal="center"/>
    </xf>
    <xf numFmtId="0" fontId="26" fillId="0" borderId="0" xfId="0" applyFont="1"/>
    <xf numFmtId="0" fontId="124" fillId="0" borderId="0" xfId="55" applyNumberFormat="1" applyFont="1" applyFill="1" applyBorder="1" applyAlignment="1">
      <alignment horizontal="center" vertical="center" wrapText="1"/>
    </xf>
    <xf numFmtId="0" fontId="124" fillId="24" borderId="72" xfId="55" applyNumberFormat="1" applyFont="1" applyFill="1" applyBorder="1" applyAlignment="1">
      <alignment horizontal="center" vertical="center" wrapText="1"/>
    </xf>
    <xf numFmtId="0" fontId="26" fillId="0" borderId="0" xfId="0" applyFont="1" applyFill="1" applyBorder="1" applyAlignment="1">
      <alignment horizontal="center"/>
    </xf>
    <xf numFmtId="0" fontId="126" fillId="0" borderId="0" xfId="0" applyFont="1" applyAlignment="1">
      <alignment horizontal="center"/>
    </xf>
    <xf numFmtId="0" fontId="127" fillId="0" borderId="0" xfId="0" applyFont="1" applyBorder="1"/>
    <xf numFmtId="0" fontId="128" fillId="19" borderId="12" xfId="0" applyFont="1" applyFill="1" applyBorder="1" applyAlignment="1">
      <alignment vertical="center"/>
    </xf>
    <xf numFmtId="0" fontId="25" fillId="0" borderId="0" xfId="0" applyFont="1"/>
    <xf numFmtId="0" fontId="34" fillId="0" borderId="10" xfId="0" applyFont="1" applyBorder="1" applyAlignment="1" applyProtection="1">
      <alignment horizontal="center" vertical="center" wrapText="1"/>
    </xf>
    <xf numFmtId="164" fontId="114" fillId="0" borderId="0" xfId="0" applyNumberFormat="1" applyFont="1" applyAlignment="1" applyProtection="1">
      <alignment horizontal="right"/>
    </xf>
    <xf numFmtId="164" fontId="1" fillId="0" borderId="10" xfId="0" applyNumberFormat="1" applyFont="1" applyBorder="1" applyAlignment="1" applyProtection="1">
      <alignment horizontal="center"/>
      <protection locked="0"/>
    </xf>
    <xf numFmtId="164" fontId="114" fillId="0" borderId="0" xfId="0" applyNumberFormat="1" applyFont="1" applyBorder="1" applyAlignment="1" applyProtection="1">
      <alignment horizontal="right"/>
    </xf>
    <xf numFmtId="164" fontId="114" fillId="0" borderId="73" xfId="0" applyNumberFormat="1" applyFont="1" applyBorder="1" applyAlignment="1" applyProtection="1">
      <alignment horizontal="right"/>
    </xf>
    <xf numFmtId="164" fontId="114" fillId="0" borderId="0" xfId="0" applyNumberFormat="1" applyFont="1" applyProtection="1"/>
    <xf numFmtId="164" fontId="84" fillId="0" borderId="10" xfId="0" applyNumberFormat="1" applyFont="1" applyBorder="1" applyAlignment="1" applyProtection="1">
      <alignment horizontal="center"/>
      <protection locked="0"/>
    </xf>
    <xf numFmtId="164" fontId="25" fillId="0" borderId="74" xfId="0" applyNumberFormat="1" applyFont="1" applyFill="1" applyBorder="1" applyAlignment="1" applyProtection="1">
      <alignment vertical="center" wrapText="1"/>
    </xf>
    <xf numFmtId="164" fontId="26" fillId="0" borderId="63" xfId="0" applyNumberFormat="1" applyFont="1" applyFill="1" applyBorder="1" applyAlignment="1" applyProtection="1">
      <alignment wrapText="1"/>
      <protection locked="0"/>
    </xf>
    <xf numFmtId="164" fontId="26" fillId="0" borderId="63" xfId="0" applyNumberFormat="1" applyFont="1" applyFill="1" applyBorder="1" applyAlignment="1" applyProtection="1">
      <protection locked="0"/>
    </xf>
    <xf numFmtId="164" fontId="1" fillId="0" borderId="75" xfId="0" applyNumberFormat="1" applyFont="1" applyBorder="1" applyAlignment="1" applyProtection="1"/>
    <xf numFmtId="164" fontId="27" fillId="0" borderId="76" xfId="0" applyNumberFormat="1" applyFont="1" applyFill="1" applyBorder="1" applyAlignment="1" applyProtection="1">
      <alignment horizontal="center" vertical="center" wrapText="1"/>
    </xf>
    <xf numFmtId="164" fontId="6" fillId="0" borderId="77" xfId="0" applyNumberFormat="1" applyFont="1" applyBorder="1" applyAlignment="1" applyProtection="1"/>
    <xf numFmtId="164" fontId="6" fillId="0" borderId="78" xfId="0" applyNumberFormat="1" applyFont="1" applyBorder="1" applyAlignment="1" applyProtection="1"/>
    <xf numFmtId="164" fontId="26" fillId="0" borderId="10" xfId="0" applyNumberFormat="1" applyFont="1" applyFill="1" applyBorder="1" applyAlignment="1" applyProtection="1">
      <alignment horizontal="center"/>
    </xf>
    <xf numFmtId="164" fontId="26" fillId="0" borderId="46" xfId="0" applyNumberFormat="1" applyFont="1" applyFill="1" applyBorder="1" applyAlignment="1" applyProtection="1">
      <alignment horizontal="center"/>
    </xf>
    <xf numFmtId="164" fontId="26" fillId="0" borderId="14" xfId="0" applyNumberFormat="1" applyFont="1" applyFill="1" applyBorder="1" applyProtection="1"/>
    <xf numFmtId="164" fontId="26" fillId="0" borderId="41" xfId="0" applyNumberFormat="1" applyFont="1" applyFill="1" applyBorder="1" applyAlignment="1" applyProtection="1"/>
    <xf numFmtId="164" fontId="26" fillId="0" borderId="79" xfId="0" applyNumberFormat="1" applyFont="1" applyFill="1" applyBorder="1" applyProtection="1"/>
    <xf numFmtId="164" fontId="129" fillId="0" borderId="15" xfId="63" applyFont="1" applyFill="1" applyBorder="1" applyAlignment="1" applyProtection="1">
      <alignment vertical="center"/>
    </xf>
    <xf numFmtId="164" fontId="14" fillId="0" borderId="80" xfId="0" applyNumberFormat="1" applyFont="1" applyBorder="1" applyAlignment="1" applyProtection="1">
      <alignment horizontal="center"/>
    </xf>
    <xf numFmtId="164" fontId="14" fillId="0" borderId="80" xfId="0" applyNumberFormat="1" applyFont="1" applyBorder="1" applyAlignment="1" applyProtection="1">
      <alignment horizontal="center" wrapText="1"/>
    </xf>
    <xf numFmtId="164" fontId="14" fillId="0" borderId="81" xfId="0" applyNumberFormat="1" applyFont="1" applyBorder="1" applyAlignment="1" applyProtection="1">
      <alignment horizontal="center"/>
    </xf>
    <xf numFmtId="164" fontId="1" fillId="0" borderId="80" xfId="0" applyNumberFormat="1" applyFont="1" applyBorder="1" applyAlignment="1" applyProtection="1">
      <alignment horizontal="center"/>
    </xf>
    <xf numFmtId="164" fontId="1" fillId="0" borderId="81" xfId="0" applyNumberFormat="1" applyFont="1" applyBorder="1" applyAlignment="1" applyProtection="1">
      <alignment horizontal="center"/>
    </xf>
    <xf numFmtId="164" fontId="1" fillId="0" borderId="81" xfId="0" applyNumberFormat="1" applyFont="1" applyBorder="1" applyAlignment="1" applyProtection="1">
      <alignment horizontal="center" wrapText="1"/>
    </xf>
    <xf numFmtId="164" fontId="32" fillId="0" borderId="80" xfId="0" applyNumberFormat="1" applyFont="1" applyBorder="1" applyAlignment="1" applyProtection="1">
      <alignment horizontal="center"/>
    </xf>
    <xf numFmtId="164" fontId="32" fillId="0" borderId="81" xfId="0" applyNumberFormat="1" applyFont="1" applyBorder="1" applyAlignment="1" applyProtection="1">
      <alignment horizontal="center"/>
    </xf>
    <xf numFmtId="165" fontId="1" fillId="0" borderId="0" xfId="0" applyNumberFormat="1" applyFont="1" applyBorder="1" applyProtection="1"/>
    <xf numFmtId="164" fontId="1" fillId="0" borderId="82" xfId="0" applyNumberFormat="1" applyFont="1" applyFill="1" applyBorder="1" applyAlignment="1" applyProtection="1">
      <alignment horizontal="center" wrapText="1"/>
    </xf>
    <xf numFmtId="164" fontId="28" fillId="0" borderId="82" xfId="0" applyNumberFormat="1" applyFont="1" applyBorder="1" applyAlignment="1">
      <alignment horizontal="center" wrapText="1"/>
    </xf>
    <xf numFmtId="164" fontId="1" fillId="0" borderId="82" xfId="0" applyNumberFormat="1" applyFont="1" applyBorder="1" applyAlignment="1">
      <alignment horizontal="center" wrapText="1"/>
    </xf>
    <xf numFmtId="164" fontId="1" fillId="0" borderId="83" xfId="0" applyNumberFormat="1" applyFont="1" applyFill="1" applyBorder="1" applyAlignment="1" applyProtection="1">
      <alignment horizontal="center" wrapText="1"/>
    </xf>
    <xf numFmtId="164" fontId="1" fillId="22" borderId="10" xfId="0" applyNumberFormat="1" applyFont="1" applyFill="1" applyBorder="1" applyProtection="1">
      <protection locked="0"/>
    </xf>
    <xf numFmtId="164" fontId="68" fillId="0" borderId="19" xfId="63" applyFont="1" applyFill="1" applyBorder="1" applyAlignment="1" applyProtection="1">
      <alignment vertical="center"/>
    </xf>
    <xf numFmtId="164" fontId="77" fillId="0" borderId="84" xfId="0" applyNumberFormat="1" applyFont="1" applyFill="1" applyBorder="1" applyAlignment="1" applyProtection="1">
      <alignment horizontal="center" vertical="center"/>
    </xf>
    <xf numFmtId="49" fontId="1" fillId="0" borderId="0" xfId="0" applyNumberFormat="1" applyFont="1" applyProtection="1"/>
    <xf numFmtId="49" fontId="77" fillId="0" borderId="84" xfId="0" applyNumberFormat="1" applyFont="1" applyFill="1" applyBorder="1" applyAlignment="1" applyProtection="1">
      <alignment horizontal="center" vertical="center"/>
    </xf>
    <xf numFmtId="0" fontId="30" fillId="21" borderId="0" xfId="0" applyNumberFormat="1" applyFont="1" applyFill="1" applyBorder="1" applyAlignment="1" applyProtection="1">
      <alignment horizontal="left"/>
      <protection locked="0"/>
    </xf>
    <xf numFmtId="0" fontId="34" fillId="21" borderId="0" xfId="0" applyNumberFormat="1" applyFont="1" applyFill="1" applyBorder="1" applyAlignment="1" applyProtection="1">
      <alignment horizontal="left"/>
      <protection locked="0"/>
    </xf>
    <xf numFmtId="164" fontId="110" fillId="0" borderId="30" xfId="0" applyNumberFormat="1" applyFont="1" applyFill="1" applyBorder="1" applyAlignment="1" applyProtection="1">
      <alignment horizontal="center" wrapText="1"/>
    </xf>
    <xf numFmtId="164" fontId="110" fillId="0" borderId="83" xfId="0" applyNumberFormat="1" applyFont="1" applyFill="1" applyBorder="1" applyAlignment="1" applyProtection="1">
      <alignment horizontal="center" wrapText="1"/>
    </xf>
    <xf numFmtId="0" fontId="34" fillId="21" borderId="0" xfId="0" applyNumberFormat="1" applyFont="1" applyFill="1" applyAlignment="1" applyProtection="1">
      <alignment horizontal="left"/>
      <protection locked="0"/>
    </xf>
    <xf numFmtId="0" fontId="28" fillId="0" borderId="82" xfId="0" applyNumberFormat="1" applyFont="1" applyFill="1" applyBorder="1" applyAlignment="1" applyProtection="1">
      <alignment horizontal="center" wrapText="1"/>
    </xf>
    <xf numFmtId="0" fontId="34" fillId="0" borderId="85" xfId="0" applyNumberFormat="1" applyFont="1" applyFill="1" applyBorder="1" applyAlignment="1" applyProtection="1">
      <alignment horizontal="center" wrapText="1"/>
    </xf>
    <xf numFmtId="0" fontId="15" fillId="0" borderId="0" xfId="0" applyNumberFormat="1" applyFont="1"/>
    <xf numFmtId="164" fontId="34" fillId="21" borderId="0" xfId="0" applyNumberFormat="1" applyFont="1" applyFill="1" applyAlignment="1" applyProtection="1">
      <alignment horizontal="left" vertical="top"/>
      <protection locked="0"/>
    </xf>
    <xf numFmtId="3" fontId="15" fillId="0" borderId="0" xfId="0" applyNumberFormat="1" applyFont="1"/>
    <xf numFmtId="3" fontId="15" fillId="20" borderId="11" xfId="0" applyNumberFormat="1" applyFont="1" applyFill="1" applyBorder="1"/>
    <xf numFmtId="0" fontId="79" fillId="19" borderId="12" xfId="0" applyNumberFormat="1" applyFont="1" applyFill="1" applyBorder="1" applyAlignment="1">
      <alignment vertical="center"/>
    </xf>
    <xf numFmtId="49" fontId="114" fillId="0" borderId="0" xfId="0" applyNumberFormat="1" applyFont="1" applyAlignment="1" applyProtection="1">
      <alignment horizontal="right"/>
    </xf>
    <xf numFmtId="0" fontId="28" fillId="0" borderId="30" xfId="0" applyFont="1" applyFill="1" applyBorder="1" applyAlignment="1" applyProtection="1">
      <alignment horizontal="center" wrapText="1"/>
    </xf>
    <xf numFmtId="0" fontId="28" fillId="0" borderId="86" xfId="0" applyFont="1" applyFill="1" applyBorder="1" applyAlignment="1" applyProtection="1">
      <alignment wrapText="1"/>
    </xf>
    <xf numFmtId="0" fontId="34" fillId="0" borderId="82" xfId="0" applyFont="1" applyFill="1" applyBorder="1" applyAlignment="1" applyProtection="1">
      <alignment horizontal="center" wrapText="1"/>
    </xf>
    <xf numFmtId="9" fontId="112" fillId="25" borderId="10" xfId="58" applyFont="1" applyFill="1" applyBorder="1" applyAlignment="1" applyProtection="1">
      <alignment horizontal="center" vertical="center" wrapText="1"/>
    </xf>
    <xf numFmtId="0" fontId="81" fillId="0" borderId="87" xfId="0" applyNumberFormat="1" applyFont="1" applyFill="1" applyBorder="1" applyAlignment="1" applyProtection="1">
      <alignment horizontal="center" vertical="center"/>
    </xf>
    <xf numFmtId="0" fontId="81" fillId="0" borderId="88" xfId="0" applyNumberFormat="1" applyFont="1" applyFill="1" applyBorder="1" applyAlignment="1" applyProtection="1">
      <alignment horizontal="center" vertical="center"/>
    </xf>
    <xf numFmtId="0" fontId="81" fillId="0" borderId="89" xfId="0" applyNumberFormat="1" applyFont="1" applyFill="1" applyBorder="1" applyAlignment="1" applyProtection="1">
      <alignment horizontal="center" vertical="center"/>
    </xf>
    <xf numFmtId="0" fontId="77" fillId="0" borderId="90" xfId="0" applyNumberFormat="1" applyFont="1" applyFill="1" applyBorder="1" applyAlignment="1" applyProtection="1">
      <alignment horizontal="center"/>
    </xf>
    <xf numFmtId="0" fontId="77" fillId="0" borderId="91" xfId="0" applyNumberFormat="1" applyFont="1" applyFill="1" applyBorder="1" applyAlignment="1" applyProtection="1">
      <alignment horizontal="center"/>
    </xf>
    <xf numFmtId="0" fontId="77" fillId="0" borderId="91" xfId="0" applyNumberFormat="1" applyFont="1" applyFill="1" applyBorder="1" applyAlignment="1" applyProtection="1">
      <alignment horizontal="center" vertical="center"/>
    </xf>
    <xf numFmtId="0" fontId="77" fillId="0" borderId="92" xfId="0" applyNumberFormat="1" applyFont="1" applyFill="1" applyBorder="1" applyAlignment="1" applyProtection="1">
      <alignment horizontal="center" vertical="center"/>
    </xf>
    <xf numFmtId="0" fontId="77" fillId="0" borderId="93" xfId="0" applyFont="1" applyFill="1" applyBorder="1" applyAlignment="1" applyProtection="1">
      <alignment horizontal="center" vertical="center" wrapText="1"/>
    </xf>
    <xf numFmtId="0" fontId="77" fillId="0" borderId="94" xfId="0" applyFont="1" applyFill="1" applyBorder="1" applyAlignment="1" applyProtection="1">
      <alignment horizontal="center"/>
    </xf>
    <xf numFmtId="0" fontId="77" fillId="0" borderId="95" xfId="0" applyFont="1" applyFill="1" applyBorder="1" applyAlignment="1" applyProtection="1">
      <alignment horizontal="center"/>
    </xf>
    <xf numFmtId="0" fontId="133" fillId="0" borderId="0" xfId="0" applyFont="1"/>
    <xf numFmtId="0" fontId="133" fillId="0" borderId="0" xfId="0" applyFont="1" applyBorder="1"/>
    <xf numFmtId="164" fontId="77" fillId="0" borderId="96" xfId="0" applyNumberFormat="1" applyFont="1" applyFill="1" applyBorder="1" applyAlignment="1" applyProtection="1">
      <alignment horizontal="center" vertical="center" wrapText="1"/>
    </xf>
    <xf numFmtId="49" fontId="77" fillId="0" borderId="96" xfId="0" applyNumberFormat="1" applyFont="1" applyFill="1" applyBorder="1" applyAlignment="1" applyProtection="1">
      <alignment horizontal="center" vertical="center" wrapText="1"/>
    </xf>
    <xf numFmtId="15" fontId="0" fillId="0" borderId="0" xfId="0" applyNumberFormat="1" applyProtection="1"/>
    <xf numFmtId="164" fontId="35" fillId="0" borderId="0" xfId="0" applyNumberFormat="1" applyFont="1" applyProtection="1"/>
    <xf numFmtId="0" fontId="126" fillId="0" borderId="0" xfId="0" applyNumberFormat="1" applyFont="1" applyAlignment="1"/>
    <xf numFmtId="0" fontId="126" fillId="0" borderId="0" xfId="0" applyFont="1" applyAlignment="1"/>
    <xf numFmtId="3" fontId="67" fillId="26" borderId="10" xfId="0" applyNumberFormat="1" applyFont="1" applyFill="1" applyBorder="1" applyAlignment="1" applyProtection="1">
      <alignment vertical="center"/>
      <protection locked="0"/>
    </xf>
    <xf numFmtId="3" fontId="2" fillId="26" borderId="10" xfId="0" applyNumberFormat="1" applyFont="1" applyFill="1" applyBorder="1" applyAlignment="1" applyProtection="1">
      <alignment vertical="center"/>
      <protection locked="0"/>
    </xf>
    <xf numFmtId="3" fontId="67" fillId="26" borderId="20" xfId="0" applyNumberFormat="1" applyFont="1" applyFill="1" applyBorder="1" applyAlignment="1" applyProtection="1">
      <alignment vertical="center"/>
      <protection locked="0"/>
    </xf>
    <xf numFmtId="49" fontId="2" fillId="27" borderId="97" xfId="0" applyNumberFormat="1" applyFont="1" applyFill="1" applyBorder="1" applyProtection="1"/>
    <xf numFmtId="49" fontId="2" fillId="27" borderId="34" xfId="0" applyNumberFormat="1" applyFont="1" applyFill="1" applyBorder="1" applyProtection="1"/>
    <xf numFmtId="49" fontId="2" fillId="27" borderId="98" xfId="0" applyNumberFormat="1" applyFont="1" applyFill="1" applyBorder="1" applyProtection="1"/>
    <xf numFmtId="0" fontId="0" fillId="0" borderId="10" xfId="0" applyNumberFormat="1" applyBorder="1"/>
    <xf numFmtId="0" fontId="0" fillId="0" borderId="10" xfId="0" applyNumberFormat="1" applyBorder="1" applyAlignment="1">
      <alignment horizontal="center"/>
    </xf>
    <xf numFmtId="164" fontId="102" fillId="0" borderId="0" xfId="0" applyNumberFormat="1" applyFont="1" applyAlignment="1" applyProtection="1">
      <alignment horizontal="right"/>
    </xf>
    <xf numFmtId="164" fontId="77" fillId="0" borderId="99" xfId="0" applyNumberFormat="1" applyFont="1" applyFill="1" applyBorder="1" applyAlignment="1" applyProtection="1">
      <alignment horizontal="center" vertical="center"/>
    </xf>
    <xf numFmtId="0" fontId="77" fillId="0" borderId="100" xfId="0" applyFont="1" applyFill="1" applyBorder="1" applyAlignment="1" applyProtection="1">
      <alignment horizontal="center" vertical="center"/>
    </xf>
    <xf numFmtId="164" fontId="77" fillId="0" borderId="101" xfId="0" applyNumberFormat="1" applyFont="1" applyFill="1" applyBorder="1" applyAlignment="1" applyProtection="1">
      <alignment horizontal="center" vertical="center"/>
    </xf>
    <xf numFmtId="164" fontId="77" fillId="0" borderId="102" xfId="0" applyNumberFormat="1" applyFont="1" applyFill="1" applyBorder="1" applyAlignment="1" applyProtection="1">
      <alignment horizontal="center" vertical="center" wrapText="1"/>
    </xf>
    <xf numFmtId="0" fontId="2" fillId="0" borderId="103" xfId="0" applyFont="1" applyFill="1" applyBorder="1" applyAlignment="1" applyProtection="1">
      <alignment horizontal="center"/>
    </xf>
    <xf numFmtId="165" fontId="14" fillId="19" borderId="100" xfId="0" applyNumberFormat="1" applyFont="1" applyFill="1" applyBorder="1" applyAlignment="1" applyProtection="1">
      <alignment horizontal="center"/>
      <protection locked="0"/>
    </xf>
    <xf numFmtId="165" fontId="14" fillId="19" borderId="104" xfId="0" applyNumberFormat="1" applyFont="1" applyFill="1" applyBorder="1" applyAlignment="1" applyProtection="1">
      <alignment horizontal="center"/>
      <protection locked="0"/>
    </xf>
    <xf numFmtId="168" fontId="0" fillId="20" borderId="10" xfId="0" applyNumberFormat="1" applyFill="1" applyBorder="1" applyAlignment="1" applyProtection="1">
      <alignment horizontal="center"/>
    </xf>
    <xf numFmtId="168" fontId="0" fillId="0" borderId="10" xfId="0" applyNumberFormat="1" applyBorder="1" applyAlignment="1" applyProtection="1">
      <alignment horizontal="center"/>
    </xf>
    <xf numFmtId="168" fontId="0" fillId="20" borderId="45" xfId="0" applyNumberFormat="1" applyFill="1" applyBorder="1" applyAlignment="1" applyProtection="1">
      <alignment horizontal="center"/>
    </xf>
    <xf numFmtId="168" fontId="0" fillId="0" borderId="45" xfId="0" applyNumberFormat="1" applyBorder="1" applyAlignment="1" applyProtection="1">
      <alignment horizontal="center"/>
    </xf>
    <xf numFmtId="168" fontId="15" fillId="28" borderId="105" xfId="0" applyNumberFormat="1" applyFont="1" applyFill="1" applyBorder="1" applyAlignment="1" applyProtection="1">
      <alignment horizontal="center"/>
    </xf>
    <xf numFmtId="168" fontId="21" fillId="28" borderId="105" xfId="0" applyNumberFormat="1" applyFont="1" applyFill="1" applyBorder="1" applyAlignment="1" applyProtection="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0" xfId="0" applyNumberFormat="1" applyFont="1" applyFill="1" applyBorder="1" applyAlignment="1" applyProtection="1">
      <alignment vertical="center"/>
      <protection locked="0"/>
    </xf>
    <xf numFmtId="3" fontId="67" fillId="29" borderId="10" xfId="0" applyNumberFormat="1" applyFont="1" applyFill="1" applyBorder="1" applyAlignment="1" applyProtection="1">
      <alignment horizontal="right" vertical="center"/>
      <protection locked="0"/>
    </xf>
    <xf numFmtId="3" fontId="2" fillId="29" borderId="10" xfId="0" applyNumberFormat="1" applyFont="1" applyFill="1" applyBorder="1" applyAlignment="1" applyProtection="1">
      <alignment horizontal="right" vertical="center"/>
      <protection locked="0"/>
    </xf>
    <xf numFmtId="3" fontId="67" fillId="29" borderId="20" xfId="0" applyNumberFormat="1" applyFont="1" applyFill="1" applyBorder="1" applyAlignment="1" applyProtection="1">
      <alignment horizontal="right" vertical="center"/>
      <protection locked="0"/>
    </xf>
    <xf numFmtId="3" fontId="67" fillId="29" borderId="71" xfId="0" applyNumberFormat="1" applyFont="1" applyFill="1" applyBorder="1" applyAlignment="1" applyProtection="1">
      <alignment horizontal="right" vertical="center"/>
      <protection locked="0"/>
    </xf>
    <xf numFmtId="3" fontId="67" fillId="29" borderId="106" xfId="0" applyNumberFormat="1" applyFont="1" applyFill="1" applyBorder="1" applyAlignment="1" applyProtection="1">
      <alignment horizontal="right" vertical="center"/>
      <protection locked="0"/>
    </xf>
    <xf numFmtId="49" fontId="2" fillId="30" borderId="10" xfId="0" applyNumberFormat="1" applyFont="1" applyFill="1" applyBorder="1" applyProtection="1"/>
    <xf numFmtId="3" fontId="67" fillId="30" borderId="10" xfId="0" applyNumberFormat="1" applyFont="1" applyFill="1" applyBorder="1" applyAlignment="1" applyProtection="1">
      <alignment vertical="center"/>
    </xf>
    <xf numFmtId="164" fontId="32" fillId="0" borderId="107" xfId="0" applyNumberFormat="1" applyFont="1" applyBorder="1" applyAlignment="1" applyProtection="1">
      <alignment horizontal="left"/>
    </xf>
    <xf numFmtId="164" fontId="1" fillId="0" borderId="108" xfId="0" applyNumberFormat="1" applyFont="1" applyBorder="1" applyAlignment="1" applyProtection="1">
      <alignment horizontal="left"/>
    </xf>
    <xf numFmtId="165" fontId="1" fillId="0" borderId="109" xfId="0" applyNumberFormat="1" applyFont="1" applyFill="1" applyBorder="1" applyAlignment="1" applyProtection="1">
      <alignment horizontal="left"/>
    </xf>
    <xf numFmtId="165" fontId="1" fillId="0" borderId="110" xfId="0" applyNumberFormat="1" applyFont="1" applyBorder="1" applyAlignment="1" applyProtection="1">
      <alignment horizontal="left"/>
    </xf>
    <xf numFmtId="165" fontId="1" fillId="0" borderId="41" xfId="0" applyNumberFormat="1" applyFont="1" applyBorder="1" applyAlignment="1" applyProtection="1">
      <alignment horizontal="left" wrapText="1"/>
    </xf>
    <xf numFmtId="164" fontId="1" fillId="0" borderId="30" xfId="0" applyNumberFormat="1" applyFont="1" applyFill="1" applyBorder="1" applyAlignment="1" applyProtection="1">
      <alignment horizontal="left"/>
    </xf>
    <xf numFmtId="0" fontId="134" fillId="0" borderId="0" xfId="0" applyFont="1"/>
    <xf numFmtId="0" fontId="134" fillId="0" borderId="0" xfId="0" applyFont="1" applyFill="1" applyBorder="1" applyProtection="1"/>
    <xf numFmtId="165" fontId="32" fillId="19" borderId="111" xfId="0" applyNumberFormat="1" applyFont="1" applyFill="1" applyBorder="1" applyAlignment="1" applyProtection="1">
      <alignment horizontal="center" wrapText="1"/>
      <protection locked="0"/>
    </xf>
    <xf numFmtId="15" fontId="28" fillId="0" borderId="112" xfId="0" applyNumberFormat="1" applyFont="1" applyBorder="1" applyAlignment="1" applyProtection="1">
      <alignment horizontal="left"/>
    </xf>
    <xf numFmtId="0" fontId="28" fillId="0" borderId="107" xfId="0" applyFont="1" applyBorder="1" applyAlignment="1" applyProtection="1">
      <alignment horizontal="left"/>
    </xf>
    <xf numFmtId="15" fontId="28" fillId="0" borderId="113" xfId="0" applyNumberFormat="1" applyFont="1" applyBorder="1" applyAlignment="1" applyProtection="1">
      <alignment horizontal="left"/>
    </xf>
    <xf numFmtId="15" fontId="28" fillId="0" borderId="114" xfId="0" applyNumberFormat="1" applyFont="1" applyBorder="1" applyAlignment="1" applyProtection="1">
      <alignment horizontal="left"/>
    </xf>
    <xf numFmtId="49" fontId="2" fillId="0" borderId="10" xfId="0" applyNumberFormat="1" applyFont="1" applyFill="1" applyBorder="1" applyAlignment="1" applyProtection="1">
      <alignment horizontal="left"/>
    </xf>
    <xf numFmtId="49" fontId="2" fillId="30" borderId="10" xfId="0" applyNumberFormat="1" applyFont="1" applyFill="1" applyBorder="1" applyAlignment="1" applyProtection="1">
      <alignment horizontal="left"/>
    </xf>
    <xf numFmtId="49" fontId="2" fillId="30" borderId="71" xfId="0" applyNumberFormat="1" applyFont="1" applyFill="1" applyBorder="1" applyAlignment="1" applyProtection="1">
      <alignment horizontal="left"/>
    </xf>
    <xf numFmtId="164" fontId="1" fillId="0" borderId="115" xfId="0" applyNumberFormat="1" applyFont="1" applyBorder="1" applyAlignment="1" applyProtection="1">
      <alignment horizontal="left"/>
    </xf>
    <xf numFmtId="164" fontId="16" fillId="0" borderId="0" xfId="49" applyFont="1" applyFill="1" applyAlignment="1">
      <alignment vertical="center"/>
    </xf>
    <xf numFmtId="164" fontId="17" fillId="31" borderId="0" xfId="49" applyFont="1" applyFill="1" applyBorder="1" applyAlignment="1">
      <alignment horizontal="center" vertical="center"/>
    </xf>
    <xf numFmtId="164" fontId="33" fillId="0" borderId="0" xfId="0" applyNumberFormat="1" applyFont="1" applyAlignment="1">
      <alignment horizontal="center"/>
    </xf>
    <xf numFmtId="0" fontId="0" fillId="0" borderId="0" xfId="0" applyAlignment="1"/>
    <xf numFmtId="164" fontId="17" fillId="32" borderId="0" xfId="48" applyFont="1" applyFill="1" applyAlignment="1" applyProtection="1">
      <alignment horizontal="center" vertical="center"/>
    </xf>
    <xf numFmtId="0" fontId="86" fillId="0" borderId="0" xfId="0" applyNumberFormat="1" applyFont="1" applyAlignment="1">
      <alignment horizontal="center"/>
    </xf>
    <xf numFmtId="0" fontId="86" fillId="0" borderId="0" xfId="0" applyFont="1" applyAlignment="1">
      <alignment horizontal="center"/>
    </xf>
    <xf numFmtId="9" fontId="63" fillId="0" borderId="34" xfId="0" applyNumberFormat="1" applyFont="1" applyBorder="1" applyAlignment="1">
      <alignment horizontal="left" vertical="center" wrapText="1"/>
    </xf>
    <xf numFmtId="0" fontId="63" fillId="0" borderId="35" xfId="0" applyFont="1" applyBorder="1" applyAlignment="1">
      <alignment horizontal="left" vertical="center" wrapText="1"/>
    </xf>
    <xf numFmtId="0" fontId="63" fillId="0" borderId="36" xfId="0" applyFont="1" applyBorder="1" applyAlignment="1">
      <alignment horizontal="left" vertical="center" wrapText="1"/>
    </xf>
    <xf numFmtId="0" fontId="87" fillId="23" borderId="34" xfId="0" applyNumberFormat="1" applyFont="1" applyFill="1" applyBorder="1" applyAlignment="1">
      <alignment horizontal="center"/>
    </xf>
    <xf numFmtId="0" fontId="87" fillId="23" borderId="35" xfId="0" applyFont="1" applyFill="1" applyBorder="1" applyAlignment="1">
      <alignment horizontal="center"/>
    </xf>
    <xf numFmtId="0" fontId="87" fillId="23" borderId="36" xfId="0" applyFont="1" applyFill="1" applyBorder="1" applyAlignment="1">
      <alignment horizontal="center"/>
    </xf>
    <xf numFmtId="164" fontId="88" fillId="0" borderId="34" xfId="0" applyNumberFormat="1" applyFont="1" applyBorder="1" applyAlignment="1">
      <alignment horizontal="justify" vertical="center" wrapText="1"/>
    </xf>
    <xf numFmtId="0" fontId="88" fillId="0" borderId="35" xfId="0" applyFont="1" applyBorder="1" applyAlignment="1">
      <alignment horizontal="justify" vertical="center"/>
    </xf>
    <xf numFmtId="0" fontId="88" fillId="0" borderId="36" xfId="0" applyFont="1" applyBorder="1" applyAlignment="1">
      <alignment horizontal="justify" vertical="center"/>
    </xf>
    <xf numFmtId="9" fontId="63" fillId="0" borderId="34" xfId="58" applyFont="1" applyBorder="1" applyAlignment="1">
      <alignment horizontal="justify" vertical="center" wrapText="1"/>
    </xf>
    <xf numFmtId="9" fontId="63" fillId="0" borderId="35" xfId="58" applyFont="1" applyBorder="1" applyAlignment="1">
      <alignment horizontal="justify" vertical="center" wrapText="1"/>
    </xf>
    <xf numFmtId="9" fontId="63" fillId="0" borderId="36" xfId="58" applyFont="1" applyBorder="1" applyAlignment="1">
      <alignment horizontal="justify" vertical="center" wrapText="1"/>
    </xf>
    <xf numFmtId="0" fontId="89" fillId="0" borderId="34" xfId="0" applyFont="1" applyBorder="1" applyAlignment="1">
      <alignment horizontal="justify" vertical="center" wrapText="1"/>
    </xf>
    <xf numFmtId="0" fontId="89" fillId="0" borderId="35" xfId="0" applyFont="1" applyBorder="1" applyAlignment="1">
      <alignment horizontal="justify" vertical="center" wrapText="1"/>
    </xf>
    <xf numFmtId="0" fontId="89" fillId="0" borderId="36" xfId="0" applyFont="1" applyBorder="1" applyAlignment="1">
      <alignment horizontal="justify" vertical="center" wrapText="1"/>
    </xf>
    <xf numFmtId="0" fontId="0" fillId="0" borderId="0" xfId="0" applyBorder="1" applyAlignment="1">
      <alignment horizontal="center"/>
    </xf>
    <xf numFmtId="164" fontId="88" fillId="0" borderId="34" xfId="0" applyNumberFormat="1" applyFont="1" applyBorder="1" applyAlignment="1">
      <alignment horizontal="left" vertical="center" wrapText="1"/>
    </xf>
    <xf numFmtId="0" fontId="88" fillId="0" borderId="35" xfId="0" applyFont="1" applyBorder="1" applyAlignment="1">
      <alignment horizontal="left" vertical="center" wrapText="1"/>
    </xf>
    <xf numFmtId="0" fontId="88" fillId="0" borderId="36" xfId="0" applyFont="1" applyBorder="1" applyAlignment="1">
      <alignment horizontal="left" vertical="center" wrapText="1"/>
    </xf>
    <xf numFmtId="0" fontId="63" fillId="0" borderId="34" xfId="0" applyNumberFormat="1" applyFont="1" applyBorder="1" applyAlignment="1">
      <alignment horizontal="left" vertical="center" wrapText="1"/>
    </xf>
    <xf numFmtId="0" fontId="63" fillId="0" borderId="34" xfId="0" applyFont="1" applyBorder="1" applyAlignment="1">
      <alignment horizontal="left" vertical="center" wrapText="1"/>
    </xf>
    <xf numFmtId="0" fontId="88" fillId="0" borderId="35" xfId="0" applyFont="1" applyBorder="1" applyAlignment="1">
      <alignment horizontal="left" vertical="center"/>
    </xf>
    <xf numFmtId="0" fontId="88" fillId="0" borderId="36" xfId="0" applyFont="1" applyBorder="1" applyAlignment="1">
      <alignment horizontal="left" vertical="center"/>
    </xf>
    <xf numFmtId="0" fontId="63" fillId="0" borderId="34" xfId="0" applyFont="1" applyBorder="1" applyAlignment="1">
      <alignment horizontal="justify" vertical="center" wrapText="1"/>
    </xf>
    <xf numFmtId="0" fontId="63" fillId="0" borderId="35" xfId="0" applyFont="1" applyBorder="1" applyAlignment="1">
      <alignment horizontal="justify" vertical="center" wrapText="1"/>
    </xf>
    <xf numFmtId="0" fontId="63" fillId="0" borderId="36" xfId="0" applyFont="1" applyBorder="1" applyAlignment="1">
      <alignment horizontal="justify" vertical="center" wrapText="1"/>
    </xf>
    <xf numFmtId="0" fontId="88" fillId="0" borderId="35" xfId="0" applyFont="1" applyBorder="1" applyAlignment="1">
      <alignment horizontal="justify" vertical="center" wrapText="1"/>
    </xf>
    <xf numFmtId="0" fontId="88" fillId="0" borderId="36" xfId="0" applyFont="1" applyBorder="1" applyAlignment="1">
      <alignment horizontal="justify" vertical="center" wrapText="1"/>
    </xf>
    <xf numFmtId="0" fontId="87" fillId="22" borderId="34" xfId="0" applyNumberFormat="1" applyFont="1" applyFill="1" applyBorder="1" applyAlignment="1">
      <alignment horizontal="center"/>
    </xf>
    <xf numFmtId="0" fontId="87" fillId="22" borderId="35" xfId="0" applyFont="1" applyFill="1" applyBorder="1" applyAlignment="1">
      <alignment horizontal="center"/>
    </xf>
    <xf numFmtId="0" fontId="87" fillId="22" borderId="36" xfId="0" applyFont="1" applyFill="1" applyBorder="1" applyAlignment="1">
      <alignment horizontal="center"/>
    </xf>
    <xf numFmtId="0" fontId="0" fillId="0" borderId="117" xfId="0" applyBorder="1" applyAlignment="1">
      <alignment horizontal="center" wrapText="1"/>
    </xf>
    <xf numFmtId="0" fontId="0" fillId="0" borderId="117" xfId="0" applyBorder="1" applyAlignment="1">
      <alignment horizontal="center"/>
    </xf>
    <xf numFmtId="0" fontId="0" fillId="0" borderId="0" xfId="0" applyBorder="1" applyAlignment="1">
      <alignment horizontal="center" wrapText="1"/>
    </xf>
    <xf numFmtId="0" fontId="1" fillId="0" borderId="34" xfId="0" applyNumberFormat="1"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4" fillId="21" borderId="34" xfId="0" applyNumberFormat="1" applyFont="1" applyFill="1" applyBorder="1" applyAlignment="1">
      <alignment horizontal="center" vertical="center" wrapText="1"/>
    </xf>
    <xf numFmtId="0" fontId="94" fillId="21" borderId="35" xfId="0" applyFont="1" applyFill="1" applyBorder="1" applyAlignment="1">
      <alignment horizontal="center" vertical="center"/>
    </xf>
    <xf numFmtId="0" fontId="94" fillId="21" borderId="36" xfId="0" applyFont="1" applyFill="1" applyBorder="1" applyAlignment="1">
      <alignment horizontal="center" vertical="center"/>
    </xf>
    <xf numFmtId="0" fontId="24" fillId="21" borderId="34" xfId="0" applyNumberFormat="1" applyFont="1" applyFill="1" applyBorder="1" applyAlignment="1">
      <alignment horizontal="center" vertical="center"/>
    </xf>
    <xf numFmtId="0" fontId="93" fillId="21" borderId="35" xfId="0" applyFont="1" applyFill="1" applyBorder="1" applyAlignment="1">
      <alignment horizontal="center" vertical="center"/>
    </xf>
    <xf numFmtId="0" fontId="93" fillId="21" borderId="36" xfId="0" applyFont="1" applyFill="1" applyBorder="1" applyAlignment="1">
      <alignment horizontal="center" vertical="center"/>
    </xf>
    <xf numFmtId="0" fontId="63" fillId="0" borderId="34" xfId="0" applyFont="1" applyBorder="1" applyAlignment="1" applyProtection="1">
      <alignment horizontal="justify" vertical="center" wrapText="1"/>
      <protection locked="0"/>
    </xf>
    <xf numFmtId="0" fontId="89" fillId="0" borderId="35" xfId="0" applyFont="1" applyBorder="1" applyAlignment="1" applyProtection="1">
      <alignment horizontal="justify" vertical="center" wrapText="1"/>
      <protection locked="0"/>
    </xf>
    <xf numFmtId="0" fontId="89" fillId="0" borderId="36" xfId="0" applyFont="1" applyBorder="1" applyAlignment="1" applyProtection="1">
      <alignment horizontal="justify" vertical="center" wrapText="1"/>
      <protection locked="0"/>
    </xf>
    <xf numFmtId="0" fontId="63" fillId="0" borderId="34" xfId="0" applyFont="1" applyBorder="1" applyAlignment="1" applyProtection="1">
      <alignment horizontal="left" vertical="center" wrapText="1"/>
      <protection locked="0"/>
    </xf>
    <xf numFmtId="0" fontId="63" fillId="0" borderId="35" xfId="0" applyFont="1" applyBorder="1" applyAlignment="1" applyProtection="1">
      <alignment horizontal="left" vertical="center" wrapText="1"/>
      <protection locked="0"/>
    </xf>
    <xf numFmtId="0" fontId="63" fillId="0" borderId="36" xfId="0" applyFont="1" applyBorder="1" applyAlignment="1" applyProtection="1">
      <alignment horizontal="left" vertical="center" wrapText="1"/>
      <protection locked="0"/>
    </xf>
    <xf numFmtId="0" fontId="24" fillId="0" borderId="34" xfId="0" applyNumberFormat="1" applyFont="1" applyBorder="1" applyAlignment="1">
      <alignment horizontal="center" vertical="center" wrapText="1"/>
    </xf>
    <xf numFmtId="0" fontId="24" fillId="0" borderId="35" xfId="0" applyFont="1" applyBorder="1" applyAlignment="1">
      <alignment horizontal="center" vertical="center" wrapText="1"/>
    </xf>
    <xf numFmtId="0" fontId="24" fillId="0" borderId="36" xfId="0" applyFont="1" applyBorder="1" applyAlignment="1">
      <alignment horizontal="center" vertical="center" wrapText="1"/>
    </xf>
    <xf numFmtId="164" fontId="88" fillId="0" borderId="116" xfId="0" applyNumberFormat="1" applyFont="1" applyBorder="1" applyAlignment="1">
      <alignment horizontal="left" vertical="center" wrapText="1"/>
    </xf>
    <xf numFmtId="0" fontId="88" fillId="0" borderId="117" xfId="0" applyFont="1" applyBorder="1" applyAlignment="1">
      <alignment horizontal="left" vertical="center" wrapText="1"/>
    </xf>
    <xf numFmtId="0" fontId="88" fillId="0" borderId="118" xfId="0" applyFont="1" applyBorder="1" applyAlignment="1">
      <alignment horizontal="left" vertical="center" wrapText="1"/>
    </xf>
    <xf numFmtId="0" fontId="88" fillId="0" borderId="97" xfId="0" applyFont="1" applyBorder="1" applyAlignment="1">
      <alignment horizontal="left" vertical="center" wrapText="1"/>
    </xf>
    <xf numFmtId="0" fontId="88" fillId="0" borderId="100" xfId="0" applyFont="1" applyBorder="1" applyAlignment="1">
      <alignment horizontal="left" vertical="center" wrapText="1"/>
    </xf>
    <xf numFmtId="0" fontId="88" fillId="0" borderId="102" xfId="0" applyFont="1" applyBorder="1" applyAlignment="1">
      <alignment horizontal="left" vertical="center" wrapText="1"/>
    </xf>
    <xf numFmtId="0" fontId="89" fillId="0" borderId="34" xfId="0" applyFont="1" applyBorder="1" applyAlignment="1" applyProtection="1">
      <alignment vertical="center" wrapText="1"/>
      <protection locked="0"/>
    </xf>
    <xf numFmtId="0" fontId="89" fillId="0" borderId="35" xfId="0" applyFont="1" applyBorder="1" applyAlignment="1" applyProtection="1">
      <alignment vertical="center" wrapText="1"/>
      <protection locked="0"/>
    </xf>
    <xf numFmtId="0" fontId="89" fillId="0" borderId="36" xfId="0" applyFont="1" applyBorder="1" applyAlignment="1" applyProtection="1">
      <alignment vertical="center" wrapText="1"/>
      <protection locked="0"/>
    </xf>
    <xf numFmtId="0" fontId="89" fillId="0" borderId="35" xfId="0" applyFont="1" applyBorder="1" applyAlignment="1" applyProtection="1">
      <alignment horizontal="left" vertical="center" wrapText="1"/>
      <protection locked="0"/>
    </xf>
    <xf numFmtId="0" fontId="89" fillId="0" borderId="36" xfId="0" applyFont="1" applyBorder="1" applyAlignment="1" applyProtection="1">
      <alignment horizontal="left" vertical="center" wrapText="1"/>
      <protection locked="0"/>
    </xf>
    <xf numFmtId="0" fontId="63" fillId="0" borderId="116" xfId="0" applyNumberFormat="1" applyFont="1" applyBorder="1" applyAlignment="1">
      <alignment horizontal="left" vertical="center" wrapText="1"/>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97" xfId="0" applyFont="1" applyBorder="1" applyAlignment="1">
      <alignment horizontal="left" vertical="center" wrapText="1"/>
    </xf>
    <xf numFmtId="0" fontId="63" fillId="0" borderId="100" xfId="0" applyFont="1" applyBorder="1" applyAlignment="1">
      <alignment horizontal="left" vertical="center" wrapText="1"/>
    </xf>
    <xf numFmtId="0" fontId="63" fillId="0" borderId="102" xfId="0" applyFont="1" applyBorder="1" applyAlignment="1">
      <alignment horizontal="left" vertical="center" wrapText="1"/>
    </xf>
    <xf numFmtId="0" fontId="63" fillId="0" borderId="116" xfId="0" applyFont="1" applyBorder="1" applyAlignment="1">
      <alignment horizontal="justify"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119" fillId="0" borderId="97" xfId="0" applyNumberFormat="1" applyFont="1" applyBorder="1" applyAlignment="1">
      <alignment horizontal="justify" vertical="center" wrapText="1"/>
    </xf>
    <xf numFmtId="0" fontId="119" fillId="0" borderId="100" xfId="0" applyFont="1" applyBorder="1" applyAlignment="1">
      <alignment horizontal="justify" vertical="center" wrapText="1"/>
    </xf>
    <xf numFmtId="0" fontId="119" fillId="0" borderId="102" xfId="0" applyFont="1" applyBorder="1" applyAlignment="1">
      <alignment horizontal="justify" vertical="center" wrapText="1"/>
    </xf>
    <xf numFmtId="0" fontId="89" fillId="0" borderId="97" xfId="0" applyFont="1" applyBorder="1" applyAlignment="1">
      <alignment horizontal="justify" vertical="center" wrapText="1"/>
    </xf>
    <xf numFmtId="0" fontId="89" fillId="0" borderId="100" xfId="0" applyFont="1" applyBorder="1" applyAlignment="1">
      <alignment horizontal="justify" vertical="center" wrapText="1"/>
    </xf>
    <xf numFmtId="0" fontId="89" fillId="0" borderId="102" xfId="0" applyFont="1" applyBorder="1" applyAlignment="1">
      <alignment horizontal="justify" vertical="center" wrapText="1"/>
    </xf>
    <xf numFmtId="0" fontId="119" fillId="0" borderId="34" xfId="0" applyNumberFormat="1" applyFont="1" applyBorder="1" applyAlignment="1">
      <alignment horizontal="left" vertical="center" wrapText="1"/>
    </xf>
    <xf numFmtId="0" fontId="116" fillId="0" borderId="35" xfId="0" applyFont="1" applyBorder="1" applyAlignment="1">
      <alignment horizontal="left" vertical="center" wrapText="1"/>
    </xf>
    <xf numFmtId="0" fontId="116" fillId="0" borderId="36" xfId="0" applyFont="1" applyBorder="1" applyAlignment="1">
      <alignment horizontal="left" vertical="center" wrapText="1"/>
    </xf>
    <xf numFmtId="0" fontId="119" fillId="0" borderId="34" xfId="0" applyNumberFormat="1" applyFont="1" applyBorder="1" applyAlignment="1">
      <alignment horizontal="justify" vertical="center" wrapText="1"/>
    </xf>
    <xf numFmtId="0" fontId="119" fillId="0" borderId="35" xfId="0" applyFont="1" applyBorder="1" applyAlignment="1">
      <alignment horizontal="justify" vertical="center" wrapText="1"/>
    </xf>
    <xf numFmtId="0" fontId="119" fillId="0" borderId="36" xfId="0" applyFont="1" applyBorder="1" applyAlignment="1">
      <alignment horizontal="justify" vertical="center" wrapText="1"/>
    </xf>
    <xf numFmtId="0" fontId="63" fillId="0" borderId="34" xfId="0" applyNumberFormat="1" applyFont="1" applyBorder="1" applyAlignment="1">
      <alignment horizontal="justify" vertical="center" wrapText="1"/>
    </xf>
    <xf numFmtId="0" fontId="89" fillId="21" borderId="34" xfId="0" applyFont="1" applyFill="1" applyBorder="1" applyAlignment="1">
      <alignment vertical="center" wrapText="1"/>
    </xf>
    <xf numFmtId="0" fontId="89" fillId="21" borderId="35" xfId="0" applyFont="1" applyFill="1" applyBorder="1" applyAlignment="1">
      <alignment vertical="center" wrapText="1"/>
    </xf>
    <xf numFmtId="0" fontId="89" fillId="21" borderId="36" xfId="0" applyFont="1" applyFill="1" applyBorder="1" applyAlignment="1">
      <alignment vertical="center" wrapText="1"/>
    </xf>
    <xf numFmtId="0" fontId="89" fillId="20" borderId="34" xfId="0" applyFont="1" applyFill="1" applyBorder="1" applyAlignment="1" applyProtection="1">
      <alignment vertical="center" wrapText="1"/>
      <protection locked="0"/>
    </xf>
    <xf numFmtId="0" fontId="89" fillId="20" borderId="35" xfId="0" applyFont="1" applyFill="1" applyBorder="1" applyAlignment="1" applyProtection="1">
      <alignment vertical="center" wrapText="1"/>
      <protection locked="0"/>
    </xf>
    <xf numFmtId="0" fontId="89" fillId="20" borderId="36" xfId="0" applyFont="1" applyFill="1" applyBorder="1" applyAlignment="1" applyProtection="1">
      <alignment vertical="center" wrapText="1"/>
      <protection locked="0"/>
    </xf>
    <xf numFmtId="0" fontId="63" fillId="0" borderId="34" xfId="0" applyNumberFormat="1" applyFont="1" applyBorder="1" applyAlignment="1" applyProtection="1">
      <alignment horizontal="left" vertical="center" wrapText="1"/>
      <protection locked="0"/>
    </xf>
    <xf numFmtId="0" fontId="63" fillId="0" borderId="35" xfId="0" applyNumberFormat="1" applyFont="1" applyBorder="1" applyAlignment="1" applyProtection="1">
      <alignment horizontal="left" vertical="center" wrapText="1"/>
      <protection locked="0"/>
    </xf>
    <xf numFmtId="0" fontId="63" fillId="0" borderId="36" xfId="0" applyNumberFormat="1" applyFont="1" applyBorder="1" applyAlignment="1" applyProtection="1">
      <alignment horizontal="left" vertical="center" wrapText="1"/>
      <protection locked="0"/>
    </xf>
    <xf numFmtId="0" fontId="98" fillId="20" borderId="34" xfId="0" applyFont="1" applyFill="1" applyBorder="1" applyAlignment="1" applyProtection="1">
      <alignment vertical="center" wrapText="1"/>
      <protection locked="0"/>
    </xf>
    <xf numFmtId="0" fontId="98" fillId="20" borderId="35" xfId="0" applyFont="1" applyFill="1" applyBorder="1" applyAlignment="1" applyProtection="1">
      <alignment vertical="center" wrapText="1"/>
      <protection locked="0"/>
    </xf>
    <xf numFmtId="0" fontId="98" fillId="20" borderId="36" xfId="0" applyFont="1" applyFill="1" applyBorder="1" applyAlignment="1" applyProtection="1">
      <alignment vertical="center" wrapText="1"/>
      <protection locked="0"/>
    </xf>
    <xf numFmtId="0" fontId="88" fillId="0" borderId="34" xfId="0" applyFont="1" applyBorder="1" applyAlignment="1" applyProtection="1">
      <alignment vertical="center" wrapText="1"/>
      <protection locked="0"/>
    </xf>
    <xf numFmtId="0" fontId="88" fillId="0" borderId="35" xfId="0" applyFont="1" applyBorder="1" applyAlignment="1" applyProtection="1">
      <alignment vertical="center" wrapText="1"/>
      <protection locked="0"/>
    </xf>
    <xf numFmtId="0" fontId="88" fillId="0" borderId="36" xfId="0" applyFont="1" applyBorder="1" applyAlignment="1" applyProtection="1">
      <alignment vertical="center" wrapText="1"/>
      <protection locked="0"/>
    </xf>
    <xf numFmtId="9" fontId="33" fillId="0" borderId="144" xfId="58" applyFont="1" applyFill="1" applyBorder="1" applyAlignment="1" applyProtection="1">
      <alignment horizontal="center" vertical="center"/>
    </xf>
    <xf numFmtId="9" fontId="33" fillId="0" borderId="145" xfId="58" applyFont="1" applyFill="1" applyBorder="1" applyAlignment="1" applyProtection="1">
      <alignment horizontal="center" vertical="center"/>
    </xf>
    <xf numFmtId="9" fontId="33" fillId="0" borderId="146" xfId="58" applyFont="1" applyFill="1" applyBorder="1" applyAlignment="1" applyProtection="1">
      <alignment horizontal="center" vertical="center"/>
    </xf>
    <xf numFmtId="0" fontId="2" fillId="21" borderId="128" xfId="0" applyNumberFormat="1" applyFont="1" applyFill="1" applyBorder="1" applyAlignment="1" applyProtection="1">
      <alignment horizontal="center" vertical="center" wrapText="1"/>
      <protection locked="0"/>
    </xf>
    <xf numFmtId="0" fontId="67" fillId="21" borderId="128" xfId="0" applyNumberFormat="1" applyFont="1" applyFill="1" applyBorder="1" applyAlignment="1" applyProtection="1">
      <alignment horizontal="center" vertical="center" wrapText="1"/>
      <protection locked="0"/>
    </xf>
    <xf numFmtId="49" fontId="2" fillId="21" borderId="36" xfId="0" applyNumberFormat="1" applyFont="1" applyFill="1" applyBorder="1" applyAlignment="1" applyProtection="1">
      <alignment horizontal="center" vertical="center" wrapText="1"/>
      <protection locked="0"/>
    </xf>
    <xf numFmtId="49" fontId="67" fillId="21" borderId="36" xfId="0" applyNumberFormat="1" applyFont="1" applyFill="1" applyBorder="1" applyAlignment="1" applyProtection="1">
      <alignment horizontal="center" vertical="center" wrapText="1"/>
      <protection locked="0"/>
    </xf>
    <xf numFmtId="49" fontId="2" fillId="29" borderId="36" xfId="0" applyNumberFormat="1" applyFont="1" applyFill="1" applyBorder="1" applyAlignment="1" applyProtection="1">
      <alignment horizontal="center" vertical="center" wrapText="1"/>
      <protection locked="0"/>
    </xf>
    <xf numFmtId="49" fontId="67" fillId="29" borderId="36" xfId="0" applyNumberFormat="1" applyFont="1" applyFill="1" applyBorder="1" applyAlignment="1" applyProtection="1">
      <alignment horizontal="center" vertical="center" wrapText="1"/>
      <protection locked="0"/>
    </xf>
    <xf numFmtId="0" fontId="2" fillId="29" borderId="128" xfId="0" applyNumberFormat="1" applyFont="1" applyFill="1" applyBorder="1" applyAlignment="1" applyProtection="1">
      <alignment horizontal="center" vertical="center" wrapText="1"/>
      <protection locked="0"/>
    </xf>
    <xf numFmtId="0" fontId="67" fillId="29" borderId="128" xfId="0" applyNumberFormat="1" applyFont="1" applyFill="1" applyBorder="1" applyAlignment="1" applyProtection="1">
      <alignment horizontal="center" vertical="center" wrapText="1"/>
      <protection locked="0"/>
    </xf>
    <xf numFmtId="0" fontId="0" fillId="35" borderId="147" xfId="0" applyFill="1" applyBorder="1" applyAlignment="1" applyProtection="1">
      <alignment horizontal="center"/>
    </xf>
    <xf numFmtId="0" fontId="0" fillId="35" borderId="148" xfId="0" applyFill="1" applyBorder="1" applyAlignment="1" applyProtection="1">
      <alignment horizontal="center"/>
    </xf>
    <xf numFmtId="0" fontId="0" fillId="35" borderId="149" xfId="0" applyFill="1" applyBorder="1" applyAlignment="1" applyProtection="1">
      <alignment horizontal="center"/>
    </xf>
    <xf numFmtId="0" fontId="67" fillId="0" borderId="133" xfId="0" applyFont="1" applyFill="1" applyBorder="1" applyAlignment="1" applyProtection="1">
      <alignment horizontal="left" vertical="center" wrapText="1"/>
    </xf>
    <xf numFmtId="0" fontId="67" fillId="0" borderId="35" xfId="0" applyFont="1" applyFill="1" applyBorder="1" applyAlignment="1" applyProtection="1">
      <alignment horizontal="left" vertical="center" wrapText="1"/>
    </xf>
    <xf numFmtId="0" fontId="67" fillId="0" borderId="134"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0" fontId="67" fillId="0" borderId="136" xfId="0" applyFont="1" applyFill="1" applyBorder="1" applyAlignment="1" applyProtection="1">
      <alignment horizontal="left" vertical="center" wrapText="1"/>
    </xf>
    <xf numFmtId="0" fontId="67" fillId="0" borderId="137" xfId="0" applyFont="1" applyFill="1" applyBorder="1" applyAlignment="1" applyProtection="1">
      <alignment horizontal="left" vertical="center" wrapText="1"/>
    </xf>
    <xf numFmtId="49" fontId="2" fillId="29" borderId="124" xfId="0" applyNumberFormat="1" applyFont="1" applyFill="1" applyBorder="1" applyAlignment="1" applyProtection="1">
      <alignment horizontal="left" vertical="center" wrapText="1"/>
      <protection locked="0"/>
    </xf>
    <xf numFmtId="49" fontId="67" fillId="29" borderId="10" xfId="0" applyNumberFormat="1" applyFont="1" applyFill="1" applyBorder="1" applyAlignment="1" applyProtection="1">
      <alignment horizontal="left" vertical="center" wrapText="1"/>
      <protection locked="0"/>
    </xf>
    <xf numFmtId="49" fontId="67" fillId="29" borderId="34" xfId="0" applyNumberFormat="1" applyFont="1" applyFill="1" applyBorder="1" applyAlignment="1" applyProtection="1">
      <alignment horizontal="left" vertical="center" wrapText="1"/>
      <protection locked="0"/>
    </xf>
    <xf numFmtId="49" fontId="67" fillId="29" borderId="143" xfId="0" applyNumberFormat="1" applyFont="1" applyFill="1" applyBorder="1" applyAlignment="1" applyProtection="1">
      <alignment horizontal="left" vertical="center" wrapText="1"/>
      <protection locked="0"/>
    </xf>
    <xf numFmtId="49" fontId="67" fillId="29" borderId="71" xfId="0" applyNumberFormat="1" applyFont="1" applyFill="1" applyBorder="1" applyAlignment="1" applyProtection="1">
      <alignment horizontal="left" vertical="center" wrapText="1"/>
      <protection locked="0"/>
    </xf>
    <xf numFmtId="49" fontId="67" fillId="29" borderId="98" xfId="0" applyNumberFormat="1" applyFont="1" applyFill="1" applyBorder="1" applyAlignment="1" applyProtection="1">
      <alignment horizontal="left" vertical="center" wrapText="1"/>
      <protection locked="0"/>
    </xf>
    <xf numFmtId="0" fontId="67" fillId="30" borderId="128" xfId="0" applyFont="1" applyFill="1" applyBorder="1" applyAlignment="1" applyProtection="1">
      <alignment horizontal="center" vertical="center" wrapText="1"/>
    </xf>
    <xf numFmtId="0" fontId="67" fillId="30" borderId="36" xfId="0" applyFont="1" applyFill="1" applyBorder="1" applyAlignment="1" applyProtection="1">
      <alignment horizontal="center" vertical="center" wrapText="1"/>
    </xf>
    <xf numFmtId="0" fontId="67" fillId="0" borderId="128" xfId="0" applyFont="1" applyFill="1" applyBorder="1" applyAlignment="1" applyProtection="1">
      <alignment horizontal="center" vertical="center" wrapText="1"/>
    </xf>
    <xf numFmtId="0" fontId="67" fillId="0" borderId="36" xfId="0" applyFont="1" applyFill="1" applyBorder="1" applyAlignment="1" applyProtection="1">
      <alignment horizontal="center" vertical="center" wrapText="1"/>
    </xf>
    <xf numFmtId="0" fontId="67" fillId="21" borderId="36" xfId="0" applyNumberFormat="1" applyFont="1" applyFill="1" applyBorder="1" applyAlignment="1" applyProtection="1">
      <alignment horizontal="center" vertical="center" wrapText="1"/>
      <protection locked="0"/>
    </xf>
    <xf numFmtId="0" fontId="67" fillId="29" borderId="150" xfId="0" applyNumberFormat="1" applyFont="1" applyFill="1" applyBorder="1" applyAlignment="1" applyProtection="1">
      <alignment horizontal="center" vertical="center" wrapText="1"/>
      <protection locked="0"/>
    </xf>
    <xf numFmtId="49" fontId="67" fillId="29" borderId="151" xfId="0" applyNumberFormat="1" applyFont="1" applyFill="1" applyBorder="1" applyAlignment="1" applyProtection="1">
      <alignment horizontal="center" vertical="center" wrapText="1"/>
      <protection locked="0"/>
    </xf>
    <xf numFmtId="49" fontId="2" fillId="33" borderId="124" xfId="0" applyNumberFormat="1" applyFont="1" applyFill="1" applyBorder="1" applyAlignment="1" applyProtection="1">
      <alignment horizontal="left" vertical="center" wrapText="1"/>
      <protection locked="0"/>
    </xf>
    <xf numFmtId="49" fontId="67" fillId="33" borderId="10" xfId="0" applyNumberFormat="1" applyFont="1" applyFill="1" applyBorder="1" applyAlignment="1" applyProtection="1">
      <alignment horizontal="left" vertical="center" wrapText="1"/>
      <protection locked="0"/>
    </xf>
    <xf numFmtId="49" fontId="67" fillId="33" borderId="34" xfId="0" applyNumberFormat="1" applyFont="1" applyFill="1" applyBorder="1" applyAlignment="1" applyProtection="1">
      <alignment horizontal="left" vertical="center" wrapText="1"/>
      <protection locked="0"/>
    </xf>
    <xf numFmtId="49" fontId="67" fillId="33" borderId="124" xfId="0" applyNumberFormat="1" applyFont="1" applyFill="1" applyBorder="1" applyAlignment="1" applyProtection="1">
      <alignment horizontal="left" vertical="center" wrapText="1"/>
      <protection locked="0"/>
    </xf>
    <xf numFmtId="49" fontId="67" fillId="29" borderId="124" xfId="0" applyNumberFormat="1" applyFont="1" applyFill="1" applyBorder="1" applyAlignment="1" applyProtection="1">
      <alignment horizontal="left" vertical="center" wrapText="1"/>
      <protection locked="0"/>
    </xf>
    <xf numFmtId="164" fontId="15" fillId="34" borderId="10" xfId="60" applyFont="1" applyFill="1" applyBorder="1" applyAlignment="1" applyProtection="1">
      <alignment horizontal="center"/>
      <protection locked="0"/>
    </xf>
    <xf numFmtId="49" fontId="0" fillId="0" borderId="10" xfId="0" applyNumberFormat="1" applyBorder="1" applyAlignment="1" applyProtection="1">
      <alignment horizontal="center"/>
      <protection locked="0"/>
    </xf>
    <xf numFmtId="0" fontId="0" fillId="0" borderId="138" xfId="0" applyBorder="1" applyAlignment="1" applyProtection="1">
      <alignment horizontal="center"/>
    </xf>
    <xf numFmtId="0" fontId="0" fillId="0" borderId="80" xfId="0" applyBorder="1" applyAlignment="1" applyProtection="1">
      <alignment horizontal="center"/>
    </xf>
    <xf numFmtId="164" fontId="84" fillId="0" borderId="139" xfId="0" applyNumberFormat="1" applyFont="1" applyBorder="1" applyAlignment="1" applyProtection="1">
      <alignment horizontal="right"/>
    </xf>
    <xf numFmtId="0" fontId="120" fillId="0" borderId="139" xfId="0" applyFont="1" applyBorder="1" applyAlignment="1"/>
    <xf numFmtId="164" fontId="1" fillId="0" borderId="140" xfId="0" applyNumberFormat="1" applyFont="1" applyFill="1" applyBorder="1" applyAlignment="1" applyProtection="1">
      <alignment horizontal="left" vertical="center"/>
      <protection locked="0"/>
    </xf>
    <xf numFmtId="0" fontId="0" fillId="0" borderId="141" xfId="0" applyFill="1" applyBorder="1" applyAlignment="1" applyProtection="1">
      <alignment horizontal="left" vertical="center"/>
      <protection locked="0"/>
    </xf>
    <xf numFmtId="0" fontId="0" fillId="0" borderId="142" xfId="0" applyFill="1" applyBorder="1" applyAlignment="1" applyProtection="1">
      <alignment horizontal="left" vertical="center"/>
      <protection locked="0"/>
    </xf>
    <xf numFmtId="0" fontId="67" fillId="30" borderId="133" xfId="0" applyFont="1" applyFill="1" applyBorder="1" applyAlignment="1" applyProtection="1">
      <alignment horizontal="left" vertical="center" wrapText="1"/>
    </xf>
    <xf numFmtId="0" fontId="67" fillId="30" borderId="35" xfId="0" applyFont="1" applyFill="1" applyBorder="1" applyAlignment="1" applyProtection="1">
      <alignment horizontal="left" vertical="center" wrapText="1"/>
    </xf>
    <xf numFmtId="0" fontId="67" fillId="30" borderId="134" xfId="0" applyFont="1" applyFill="1" applyBorder="1" applyAlignment="1" applyProtection="1">
      <alignment horizontal="left" vertical="center" wrapText="1"/>
    </xf>
    <xf numFmtId="0" fontId="67" fillId="30" borderId="135" xfId="0" applyFont="1" applyFill="1" applyBorder="1" applyAlignment="1" applyProtection="1">
      <alignment horizontal="left" vertical="center" wrapText="1"/>
    </xf>
    <xf numFmtId="0" fontId="67" fillId="30" borderId="136" xfId="0" applyFont="1" applyFill="1" applyBorder="1" applyAlignment="1" applyProtection="1">
      <alignment horizontal="left" vertical="center" wrapText="1"/>
    </xf>
    <xf numFmtId="0" fontId="67" fillId="30" borderId="137" xfId="0" applyFont="1" applyFill="1" applyBorder="1" applyAlignment="1" applyProtection="1">
      <alignment horizontal="left" vertical="center" wrapText="1"/>
    </xf>
    <xf numFmtId="164" fontId="61" fillId="32" borderId="0" xfId="40" applyFont="1" applyFill="1" applyAlignment="1" applyProtection="1">
      <alignment horizontal="center" vertical="center"/>
    </xf>
    <xf numFmtId="3" fontId="0" fillId="0" borderId="34" xfId="0" applyNumberFormat="1" applyBorder="1" applyAlignment="1" applyProtection="1">
      <alignment horizontal="center"/>
      <protection locked="0"/>
    </xf>
    <xf numFmtId="3" fontId="0" fillId="0" borderId="36" xfId="0" applyNumberFormat="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164" fontId="1" fillId="0" borderId="34" xfId="0" applyNumberFormat="1" applyFont="1" applyBorder="1" applyAlignment="1" applyProtection="1">
      <alignment horizontal="center"/>
      <protection locked="0"/>
    </xf>
    <xf numFmtId="49" fontId="0" fillId="0" borderId="35" xfId="0" applyNumberFormat="1" applyBorder="1" applyAlignment="1" applyProtection="1">
      <alignment horizontal="center"/>
      <protection locked="0"/>
    </xf>
    <xf numFmtId="49" fontId="0" fillId="0" borderId="36" xfId="0" applyNumberFormat="1" applyBorder="1" applyAlignment="1" applyProtection="1">
      <alignment horizontal="center"/>
      <protection locked="0"/>
    </xf>
    <xf numFmtId="164" fontId="114" fillId="0" borderId="0" xfId="0" applyNumberFormat="1" applyFont="1" applyBorder="1" applyAlignment="1" applyProtection="1">
      <alignment horizontal="right"/>
    </xf>
    <xf numFmtId="0" fontId="114" fillId="0" borderId="132" xfId="0" applyFont="1" applyBorder="1" applyAlignment="1" applyProtection="1">
      <alignment horizontal="right"/>
    </xf>
    <xf numFmtId="164" fontId="114" fillId="0" borderId="73" xfId="0" applyNumberFormat="1" applyFont="1" applyBorder="1" applyAlignment="1" applyProtection="1">
      <alignment horizontal="right"/>
    </xf>
    <xf numFmtId="15" fontId="1" fillId="0" borderId="10" xfId="60" applyNumberFormat="1" applyFont="1" applyFill="1" applyBorder="1" applyAlignment="1" applyProtection="1">
      <alignment horizontal="center"/>
      <protection locked="0"/>
    </xf>
    <xf numFmtId="15" fontId="135" fillId="0" borderId="10" xfId="60" applyNumberFormat="1" applyFill="1" applyBorder="1" applyAlignment="1" applyProtection="1">
      <alignment horizontal="center"/>
      <protection locked="0"/>
    </xf>
    <xf numFmtId="164" fontId="102" fillId="0" borderId="73" xfId="0" applyNumberFormat="1" applyFont="1" applyBorder="1" applyAlignment="1" applyProtection="1">
      <alignment horizontal="right"/>
    </xf>
    <xf numFmtId="0" fontId="114" fillId="0" borderId="0" xfId="0" applyFont="1" applyAlignment="1" applyProtection="1">
      <alignment horizontal="right"/>
    </xf>
    <xf numFmtId="49" fontId="0" fillId="0" borderId="34" xfId="0" applyNumberFormat="1" applyBorder="1" applyAlignment="1" applyProtection="1">
      <alignment horizontal="center"/>
      <protection locked="0"/>
    </xf>
    <xf numFmtId="164" fontId="114" fillId="0" borderId="0" xfId="0" applyNumberFormat="1" applyFont="1" applyAlignment="1" applyProtection="1">
      <alignment horizontal="right"/>
    </xf>
    <xf numFmtId="164" fontId="132" fillId="0" borderId="73" xfId="0" applyNumberFormat="1" applyFont="1" applyBorder="1" applyAlignment="1" applyProtection="1">
      <alignment horizontal="right"/>
    </xf>
    <xf numFmtId="0" fontId="132" fillId="0" borderId="132" xfId="0" applyFont="1" applyBorder="1" applyAlignment="1" applyProtection="1">
      <alignment horizontal="right"/>
    </xf>
    <xf numFmtId="164" fontId="1" fillId="0" borderId="115" xfId="0" applyNumberFormat="1" applyFont="1" applyBorder="1" applyAlignment="1" applyProtection="1">
      <alignment horizontal="left"/>
    </xf>
    <xf numFmtId="49" fontId="1" fillId="0" borderId="10" xfId="0" applyNumberFormat="1" applyFont="1" applyBorder="1" applyAlignment="1" applyProtection="1">
      <alignment horizontal="left"/>
    </xf>
    <xf numFmtId="165" fontId="1" fillId="19" borderId="119" xfId="0" applyNumberFormat="1" applyFont="1" applyFill="1" applyBorder="1" applyAlignment="1" applyProtection="1">
      <alignment horizontal="center" vertical="center" textRotation="90"/>
    </xf>
    <xf numFmtId="0" fontId="0" fillId="19" borderId="119" xfId="0" applyFill="1" applyBorder="1" applyAlignment="1" applyProtection="1">
      <alignment horizontal="center" vertical="center" textRotation="90"/>
    </xf>
    <xf numFmtId="164" fontId="14" fillId="0" borderId="120" xfId="0" applyNumberFormat="1" applyFont="1" applyBorder="1" applyAlignment="1" applyProtection="1">
      <alignment horizontal="center"/>
    </xf>
    <xf numFmtId="0" fontId="14" fillId="0" borderId="121" xfId="0" applyFont="1" applyBorder="1" applyAlignment="1" applyProtection="1">
      <alignment horizontal="center"/>
    </xf>
    <xf numFmtId="0" fontId="14" fillId="0" borderId="122" xfId="0" applyFont="1" applyBorder="1" applyAlignment="1" applyProtection="1">
      <alignment horizontal="center"/>
    </xf>
    <xf numFmtId="49" fontId="2" fillId="21" borderId="123" xfId="0" applyNumberFormat="1" applyFont="1" applyFill="1" applyBorder="1" applyAlignment="1" applyProtection="1">
      <alignment horizontal="left" vertical="center" wrapText="1"/>
      <protection locked="0"/>
    </xf>
    <xf numFmtId="49" fontId="67" fillId="21" borderId="103" xfId="0" applyNumberFormat="1" applyFont="1" applyFill="1" applyBorder="1" applyAlignment="1" applyProtection="1">
      <alignment horizontal="left" vertical="center" wrapText="1"/>
      <protection locked="0"/>
    </xf>
    <xf numFmtId="49" fontId="67" fillId="21" borderId="97" xfId="0" applyNumberFormat="1" applyFont="1" applyFill="1" applyBorder="1" applyAlignment="1" applyProtection="1">
      <alignment horizontal="left" vertical="center" wrapText="1"/>
      <protection locked="0"/>
    </xf>
    <xf numFmtId="49" fontId="67" fillId="21" borderId="124" xfId="0" applyNumberFormat="1" applyFont="1" applyFill="1" applyBorder="1" applyAlignment="1" applyProtection="1">
      <alignment horizontal="left" vertical="center" wrapText="1"/>
      <protection locked="0"/>
    </xf>
    <xf numFmtId="49" fontId="67" fillId="21" borderId="10" xfId="0" applyNumberFormat="1" applyFont="1" applyFill="1" applyBorder="1" applyAlignment="1" applyProtection="1">
      <alignment horizontal="left" vertical="center" wrapText="1"/>
      <protection locked="0"/>
    </xf>
    <xf numFmtId="49" fontId="67" fillId="21" borderId="34" xfId="0" applyNumberFormat="1" applyFont="1" applyFill="1" applyBorder="1" applyAlignment="1" applyProtection="1">
      <alignment horizontal="left" vertical="center" wrapText="1"/>
      <protection locked="0"/>
    </xf>
    <xf numFmtId="164" fontId="26" fillId="0" borderId="125" xfId="0" applyNumberFormat="1" applyFont="1" applyBorder="1" applyAlignment="1" applyProtection="1">
      <alignment horizontal="center" wrapText="1"/>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49" fontId="2" fillId="21" borderId="124" xfId="0" applyNumberFormat="1" applyFont="1" applyFill="1" applyBorder="1" applyAlignment="1" applyProtection="1">
      <alignment horizontal="left" vertical="center" wrapText="1"/>
      <protection locked="0"/>
    </xf>
    <xf numFmtId="164" fontId="1" fillId="0" borderId="108" xfId="0" applyNumberFormat="1" applyFont="1" applyBorder="1" applyAlignment="1" applyProtection="1">
      <alignment horizontal="left"/>
    </xf>
    <xf numFmtId="49" fontId="1" fillId="0" borderId="38" xfId="0" applyNumberFormat="1" applyFont="1" applyBorder="1" applyAlignment="1" applyProtection="1">
      <alignment horizontal="left"/>
    </xf>
    <xf numFmtId="164" fontId="77" fillId="0" borderId="129" xfId="0" applyNumberFormat="1" applyFont="1" applyFill="1" applyBorder="1" applyAlignment="1" applyProtection="1">
      <alignment horizontal="center" vertical="center"/>
    </xf>
    <xf numFmtId="0" fontId="77" fillId="0" borderId="130" xfId="0" applyFont="1" applyFill="1" applyBorder="1" applyAlignment="1" applyProtection="1">
      <alignment horizontal="center" vertical="center"/>
    </xf>
    <xf numFmtId="0" fontId="77" fillId="0" borderId="131" xfId="0" applyFont="1" applyFill="1" applyBorder="1" applyAlignment="1" applyProtection="1">
      <alignment horizontal="center" vertical="center"/>
    </xf>
    <xf numFmtId="0" fontId="0" fillId="21" borderId="34" xfId="0" applyFill="1" applyBorder="1" applyAlignment="1" applyProtection="1">
      <alignment horizontal="center"/>
    </xf>
    <xf numFmtId="0" fontId="0" fillId="21" borderId="36" xfId="0" applyFill="1" applyBorder="1" applyAlignment="1" applyProtection="1">
      <alignment horizontal="center"/>
    </xf>
    <xf numFmtId="164" fontId="24" fillId="22" borderId="31" xfId="60" applyFont="1" applyFill="1" applyBorder="1" applyAlignment="1" applyProtection="1">
      <alignment horizontal="center"/>
    </xf>
    <xf numFmtId="164" fontId="1" fillId="0" borderId="31" xfId="60" applyFont="1" applyFill="1" applyBorder="1" applyAlignment="1" applyProtection="1">
      <alignment horizontal="right"/>
    </xf>
    <xf numFmtId="164" fontId="115" fillId="31" borderId="31" xfId="60" applyFont="1" applyFill="1" applyBorder="1" applyAlignment="1" applyProtection="1">
      <alignment horizontal="center"/>
    </xf>
    <xf numFmtId="15" fontId="24" fillId="22" borderId="31" xfId="60" applyNumberFormat="1" applyFont="1" applyFill="1" applyBorder="1" applyAlignment="1" applyProtection="1">
      <alignment horizontal="center"/>
    </xf>
    <xf numFmtId="0" fontId="0" fillId="0" borderId="31" xfId="0" applyBorder="1" applyAlignment="1"/>
    <xf numFmtId="164" fontId="105" fillId="32" borderId="0" xfId="40" applyFont="1" applyFill="1" applyAlignment="1" applyProtection="1">
      <alignment horizontal="center" vertical="center"/>
    </xf>
    <xf numFmtId="164" fontId="33" fillId="22" borderId="0" xfId="52" applyFont="1" applyFill="1" applyAlignment="1" applyProtection="1">
      <alignment horizontal="center" vertical="center" wrapText="1"/>
    </xf>
    <xf numFmtId="173" fontId="24" fillId="22" borderId="31" xfId="60" applyNumberFormat="1" applyFont="1" applyFill="1" applyBorder="1" applyAlignment="1" applyProtection="1">
      <alignment horizontal="center" vertical="center"/>
    </xf>
    <xf numFmtId="164" fontId="1" fillId="0" borderId="31" xfId="60" applyFont="1" applyBorder="1" applyAlignment="1" applyProtection="1">
      <alignment horizontal="right"/>
    </xf>
    <xf numFmtId="164" fontId="20" fillId="0" borderId="0" xfId="52" applyFont="1" applyFill="1" applyAlignment="1" applyProtection="1">
      <alignment horizontal="right" vertical="center"/>
    </xf>
    <xf numFmtId="164" fontId="24" fillId="22" borderId="0" xfId="52" applyFont="1" applyFill="1" applyAlignment="1" applyProtection="1">
      <alignment horizontal="center" vertical="center" wrapText="1"/>
    </xf>
    <xf numFmtId="0" fontId="131" fillId="0" borderId="153" xfId="0" applyFont="1" applyFill="1" applyBorder="1" applyAlignment="1" applyProtection="1">
      <alignment horizontal="left" wrapText="1"/>
    </xf>
    <xf numFmtId="0" fontId="131" fillId="0" borderId="105" xfId="0" applyFont="1" applyFill="1" applyBorder="1" applyAlignment="1" applyProtection="1">
      <alignment horizontal="left" wrapText="1"/>
    </xf>
    <xf numFmtId="0" fontId="131" fillId="0" borderId="154" xfId="0" applyFont="1" applyFill="1" applyBorder="1" applyAlignment="1" applyProtection="1">
      <alignment horizontal="left" wrapText="1"/>
    </xf>
    <xf numFmtId="0" fontId="131" fillId="0" borderId="155" xfId="0" applyFont="1" applyFill="1" applyBorder="1" applyAlignment="1" applyProtection="1">
      <alignment horizontal="left" wrapText="1"/>
    </xf>
    <xf numFmtId="164" fontId="14" fillId="0" borderId="0" xfId="0" applyNumberFormat="1" applyFont="1" applyAlignment="1" applyProtection="1">
      <alignment horizontal="center" wrapText="1"/>
    </xf>
    <xf numFmtId="164" fontId="28" fillId="0" borderId="0" xfId="0" applyNumberFormat="1" applyFont="1" applyAlignment="1" applyProtection="1">
      <alignment horizontal="right"/>
    </xf>
    <xf numFmtId="15" fontId="28" fillId="0" borderId="0" xfId="0" applyNumberFormat="1" applyFont="1" applyAlignment="1" applyProtection="1">
      <alignment horizontal="right"/>
    </xf>
    <xf numFmtId="164" fontId="14" fillId="0" borderId="0" xfId="0" applyNumberFormat="1" applyFont="1" applyAlignment="1" applyProtection="1">
      <alignment horizontal="center"/>
    </xf>
    <xf numFmtId="164" fontId="28" fillId="0" borderId="0" xfId="0" applyNumberFormat="1" applyFont="1" applyAlignment="1" applyProtection="1">
      <alignment horizontal="left"/>
    </xf>
    <xf numFmtId="164" fontId="15" fillId="31" borderId="0" xfId="60" applyFont="1" applyFill="1" applyBorder="1" applyAlignment="1" applyProtection="1">
      <alignment horizontal="center"/>
    </xf>
    <xf numFmtId="0" fontId="130" fillId="0" borderId="0" xfId="0" applyFont="1" applyAlignment="1" applyProtection="1">
      <alignment horizontal="center"/>
    </xf>
    <xf numFmtId="0" fontId="111" fillId="0" borderId="0" xfId="0" applyFont="1" applyAlignment="1" applyProtection="1">
      <alignment horizontal="center"/>
    </xf>
    <xf numFmtId="164" fontId="110" fillId="0" borderId="147" xfId="0" applyNumberFormat="1" applyFont="1" applyBorder="1" applyAlignment="1" applyProtection="1">
      <alignment horizontal="center" vertical="center" wrapText="1"/>
    </xf>
    <xf numFmtId="164" fontId="110" fillId="0" borderId="148" xfId="0" applyNumberFormat="1" applyFont="1" applyBorder="1" applyAlignment="1" applyProtection="1">
      <alignment horizontal="center" vertical="center" wrapText="1"/>
    </xf>
    <xf numFmtId="164" fontId="110" fillId="0" borderId="149" xfId="0" applyNumberFormat="1" applyFont="1" applyBorder="1" applyAlignment="1" applyProtection="1">
      <alignment horizontal="center" vertical="center" wrapText="1"/>
    </xf>
    <xf numFmtId="0" fontId="0" fillId="0" borderId="152" xfId="0" applyBorder="1" applyAlignment="1" applyProtection="1">
      <alignment horizontal="center"/>
    </xf>
    <xf numFmtId="0" fontId="0" fillId="0" borderId="85" xfId="0" applyBorder="1" applyAlignment="1" applyProtection="1">
      <alignment horizontal="center"/>
    </xf>
    <xf numFmtId="0" fontId="30" fillId="21" borderId="34" xfId="0" applyFont="1" applyFill="1" applyBorder="1" applyAlignment="1" applyProtection="1">
      <alignment horizontal="left" wrapText="1"/>
      <protection locked="0"/>
    </xf>
    <xf numFmtId="0" fontId="0" fillId="0" borderId="35" xfId="0" applyBorder="1" applyAlignment="1" applyProtection="1">
      <alignment horizontal="left" wrapText="1"/>
      <protection locked="0"/>
    </xf>
    <xf numFmtId="0" fontId="0" fillId="0" borderId="36" xfId="0" applyBorder="1" applyAlignment="1" applyProtection="1">
      <alignment horizontal="left" wrapText="1"/>
      <protection locked="0"/>
    </xf>
    <xf numFmtId="0" fontId="34" fillId="21" borderId="34" xfId="0" applyFont="1" applyFill="1" applyBorder="1" applyAlignment="1" applyProtection="1">
      <alignment horizontal="left" wrapText="1"/>
      <protection locked="0"/>
    </xf>
    <xf numFmtId="0" fontId="34" fillId="21" borderId="35" xfId="0" applyFont="1" applyFill="1" applyBorder="1" applyAlignment="1" applyProtection="1">
      <alignment horizontal="left" wrapText="1"/>
      <protection locked="0"/>
    </xf>
    <xf numFmtId="0" fontId="34" fillId="21" borderId="36" xfId="0" applyFont="1" applyFill="1" applyBorder="1" applyAlignment="1" applyProtection="1">
      <alignment horizontal="left" wrapText="1"/>
      <protection locked="0"/>
    </xf>
    <xf numFmtId="0" fontId="0" fillId="0" borderId="35" xfId="0" applyBorder="1" applyAlignment="1">
      <alignment horizontal="left" wrapText="1"/>
    </xf>
    <xf numFmtId="0" fontId="0" fillId="0" borderId="36" xfId="0" applyBorder="1" applyAlignment="1">
      <alignment horizontal="left" wrapText="1"/>
    </xf>
    <xf numFmtId="0" fontId="85" fillId="0" borderId="0" xfId="0" applyFont="1" applyAlignment="1">
      <alignment horizontal="left" wrapText="1"/>
    </xf>
    <xf numFmtId="164" fontId="61" fillId="32" borderId="0" xfId="50" applyFont="1" applyFill="1" applyAlignment="1">
      <alignment horizontal="center" vertical="center"/>
    </xf>
    <xf numFmtId="0" fontId="130" fillId="0" borderId="0" xfId="0" applyFont="1" applyAlignment="1">
      <alignment horizontal="center"/>
    </xf>
    <xf numFmtId="0" fontId="111" fillId="0" borderId="0" xfId="0" applyFont="1" applyAlignment="1">
      <alignment horizontal="center"/>
    </xf>
    <xf numFmtId="164" fontId="14" fillId="0" borderId="0" xfId="0" applyNumberFormat="1" applyFont="1" applyAlignment="1">
      <alignment horizontal="center"/>
    </xf>
    <xf numFmtId="164" fontId="28" fillId="0" borderId="0" xfId="0" applyNumberFormat="1" applyFont="1" applyAlignment="1">
      <alignment horizontal="right"/>
    </xf>
    <xf numFmtId="0" fontId="14" fillId="0" borderId="0" xfId="0" applyFont="1" applyBorder="1" applyAlignment="1">
      <alignment horizontal="center"/>
    </xf>
    <xf numFmtId="164" fontId="28" fillId="0" borderId="0" xfId="0" applyNumberFormat="1" applyFont="1" applyAlignment="1">
      <alignment horizontal="left"/>
    </xf>
    <xf numFmtId="0" fontId="0" fillId="0" borderId="140" xfId="0" applyFill="1" applyBorder="1" applyAlignment="1" applyProtection="1">
      <alignment horizontal="center" vertical="center"/>
    </xf>
    <xf numFmtId="0" fontId="0" fillId="0" borderId="141" xfId="0" applyFill="1" applyBorder="1" applyAlignment="1" applyProtection="1">
      <alignment horizontal="center" vertical="center"/>
    </xf>
    <xf numFmtId="0" fontId="0" fillId="0" borderId="142" xfId="0" applyFill="1" applyBorder="1" applyAlignment="1" applyProtection="1">
      <alignment horizontal="center" vertical="center"/>
    </xf>
    <xf numFmtId="15" fontId="28" fillId="0" borderId="0" xfId="0" applyNumberFormat="1" applyFont="1" applyAlignment="1">
      <alignment horizontal="right"/>
    </xf>
    <xf numFmtId="164" fontId="61" fillId="32" borderId="0" xfId="50" applyFont="1" applyFill="1" applyAlignment="1" applyProtection="1">
      <alignment horizontal="center" vertical="center"/>
    </xf>
    <xf numFmtId="0" fontId="34" fillId="0" borderId="117" xfId="0" applyFont="1" applyBorder="1" applyAlignment="1" applyProtection="1">
      <alignment horizontal="left" vertical="center"/>
    </xf>
    <xf numFmtId="164" fontId="130" fillId="0" borderId="0" xfId="0" applyNumberFormat="1" applyFont="1" applyAlignment="1" applyProtection="1">
      <alignment horizontal="center"/>
    </xf>
    <xf numFmtId="164" fontId="111" fillId="0" borderId="0" xfId="0" applyNumberFormat="1" applyFont="1" applyAlignment="1" applyProtection="1">
      <alignment horizontal="center"/>
    </xf>
    <xf numFmtId="164" fontId="33" fillId="0" borderId="0" xfId="0" applyNumberFormat="1" applyFont="1" applyAlignment="1" applyProtection="1">
      <alignment horizontal="center"/>
    </xf>
    <xf numFmtId="164" fontId="15" fillId="31" borderId="0" xfId="61" applyFont="1" applyFill="1" applyBorder="1" applyAlignment="1" applyProtection="1">
      <alignment horizontal="center"/>
    </xf>
    <xf numFmtId="0" fontId="34" fillId="0" borderId="34" xfId="0" applyFont="1" applyBorder="1" applyAlignment="1" applyProtection="1">
      <alignment horizontal="center" vertical="center"/>
    </xf>
    <xf numFmtId="0" fontId="34" fillId="0" borderId="35" xfId="0" applyFont="1" applyBorder="1" applyAlignment="1" applyProtection="1">
      <alignment horizontal="center" vertical="center"/>
    </xf>
    <xf numFmtId="0" fontId="34" fillId="0" borderId="36" xfId="0" applyFont="1" applyBorder="1" applyAlignment="1" applyProtection="1">
      <alignment horizontal="center" vertical="center"/>
    </xf>
    <xf numFmtId="9" fontId="34" fillId="21" borderId="10" xfId="58" applyFont="1" applyFill="1" applyBorder="1" applyAlignment="1" applyProtection="1">
      <alignment horizontal="left" vertical="center" wrapText="1"/>
      <protection locked="0"/>
    </xf>
    <xf numFmtId="9" fontId="28" fillId="0" borderId="34" xfId="58" applyFont="1" applyBorder="1" applyAlignment="1" applyProtection="1">
      <alignment horizontal="center" vertical="center" wrapText="1"/>
    </xf>
    <xf numFmtId="9" fontId="28" fillId="0" borderId="35" xfId="58" applyFont="1" applyBorder="1" applyAlignment="1" applyProtection="1">
      <alignment horizontal="center" vertical="center" wrapText="1"/>
    </xf>
    <xf numFmtId="9" fontId="28" fillId="0" borderId="36" xfId="58" applyFont="1" applyBorder="1" applyAlignment="1" applyProtection="1">
      <alignment horizontal="center" vertical="center" wrapText="1"/>
    </xf>
    <xf numFmtId="9" fontId="37" fillId="35" borderId="34" xfId="58" applyFont="1" applyFill="1" applyBorder="1" applyAlignment="1" applyProtection="1">
      <alignment horizontal="center" vertical="center" wrapText="1"/>
    </xf>
    <xf numFmtId="9" fontId="37" fillId="35" borderId="36" xfId="58" applyFont="1" applyFill="1" applyBorder="1" applyAlignment="1" applyProtection="1">
      <alignment horizontal="center" vertical="center" wrapText="1"/>
    </xf>
    <xf numFmtId="9" fontId="37" fillId="36" borderId="34" xfId="58" applyFont="1" applyFill="1" applyBorder="1" applyAlignment="1" applyProtection="1">
      <alignment horizontal="center" vertical="center" wrapText="1"/>
    </xf>
    <xf numFmtId="9" fontId="37" fillId="36" borderId="36" xfId="58" applyFont="1" applyFill="1" applyBorder="1" applyAlignment="1" applyProtection="1">
      <alignment horizontal="center" vertical="center" wrapText="1"/>
    </xf>
    <xf numFmtId="0" fontId="33" fillId="0" borderId="100"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0" borderId="10" xfId="0" applyFont="1" applyBorder="1" applyAlignment="1" applyProtection="1">
      <alignment vertical="center" wrapText="1"/>
    </xf>
    <xf numFmtId="0" fontId="34" fillId="20" borderId="0" xfId="0" applyFont="1" applyFill="1" applyAlignment="1" applyProtection="1">
      <alignment horizontal="center" vertical="center" wrapText="1"/>
    </xf>
    <xf numFmtId="0" fontId="34" fillId="0" borderId="34" xfId="0" applyFont="1" applyBorder="1" applyAlignment="1" applyProtection="1">
      <alignment vertical="center" wrapText="1"/>
    </xf>
    <xf numFmtId="0" fontId="34" fillId="0" borderId="35" xfId="0" applyFont="1" applyBorder="1" applyAlignment="1" applyProtection="1">
      <alignment vertical="center" wrapText="1"/>
    </xf>
    <xf numFmtId="0" fontId="34" fillId="0" borderId="36" xfId="0" applyFont="1" applyBorder="1" applyAlignment="1" applyProtection="1">
      <alignment vertical="center" wrapText="1"/>
    </xf>
    <xf numFmtId="0" fontId="34" fillId="20" borderId="156"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0" fontId="34" fillId="20" borderId="0" xfId="0" applyFont="1" applyFill="1" applyBorder="1" applyAlignment="1" applyProtection="1">
      <alignment horizontal="left"/>
    </xf>
    <xf numFmtId="0" fontId="34" fillId="20" borderId="0" xfId="0" applyFont="1" applyFill="1" applyAlignment="1" applyProtection="1">
      <alignment horizontal="left"/>
      <protection locked="0"/>
    </xf>
    <xf numFmtId="0" fontId="34" fillId="20" borderId="32" xfId="0" applyFont="1" applyFill="1" applyBorder="1" applyAlignment="1" applyProtection="1">
      <alignment horizontal="left"/>
      <protection locked="0"/>
    </xf>
    <xf numFmtId="0" fontId="34" fillId="20" borderId="117" xfId="0" applyFont="1" applyFill="1" applyBorder="1" applyAlignment="1" applyProtection="1">
      <alignment horizontal="left"/>
    </xf>
    <xf numFmtId="0" fontId="34" fillId="20" borderId="117" xfId="0" applyFont="1" applyFill="1" applyBorder="1" applyAlignment="1" applyProtection="1">
      <alignment horizontal="left" vertical="center" wrapText="1"/>
    </xf>
    <xf numFmtId="0" fontId="34" fillId="21" borderId="34" xfId="0" applyFont="1" applyFill="1" applyBorder="1" applyAlignment="1" applyProtection="1">
      <alignment horizontal="left" vertical="top" wrapText="1"/>
      <protection locked="0"/>
    </xf>
    <xf numFmtId="0" fontId="0" fillId="0" borderId="35" xfId="0" applyBorder="1" applyAlignment="1">
      <alignment horizontal="left" vertical="top" wrapText="1"/>
    </xf>
    <xf numFmtId="0" fontId="0" fillId="0" borderId="36" xfId="0" applyBorder="1" applyAlignment="1">
      <alignment horizontal="left" vertical="top" wrapText="1"/>
    </xf>
    <xf numFmtId="0" fontId="34" fillId="21" borderId="35" xfId="0" applyFont="1" applyFill="1" applyBorder="1" applyAlignment="1" applyProtection="1">
      <alignment horizontal="left" vertical="top" wrapText="1"/>
      <protection locked="0"/>
    </xf>
    <xf numFmtId="0" fontId="34" fillId="21" borderId="36" xfId="0" applyFont="1" applyFill="1" applyBorder="1" applyAlignment="1" applyProtection="1">
      <alignment horizontal="left" vertical="top" wrapText="1"/>
      <protection locked="0"/>
    </xf>
    <xf numFmtId="0" fontId="2" fillId="21" borderId="166" xfId="0" applyFont="1" applyFill="1" applyBorder="1" applyAlignment="1" applyProtection="1">
      <alignment horizontal="center" vertical="top" wrapText="1"/>
      <protection locked="0"/>
    </xf>
    <xf numFmtId="0" fontId="2" fillId="21" borderId="167" xfId="0" applyFont="1" applyFill="1" applyBorder="1" applyAlignment="1" applyProtection="1">
      <alignment horizontal="center" vertical="top" wrapText="1"/>
      <protection locked="0"/>
    </xf>
    <xf numFmtId="0" fontId="2" fillId="21" borderId="168" xfId="0" applyFont="1" applyFill="1" applyBorder="1" applyAlignment="1" applyProtection="1">
      <alignment horizontal="center" vertical="top" wrapText="1"/>
      <protection locked="0"/>
    </xf>
    <xf numFmtId="0" fontId="2" fillId="21" borderId="207" xfId="0" applyFont="1" applyFill="1" applyBorder="1" applyAlignment="1" applyProtection="1">
      <alignment horizontal="center" vertical="top" wrapText="1"/>
      <protection locked="0"/>
    </xf>
    <xf numFmtId="0" fontId="2" fillId="21" borderId="208" xfId="0" applyFont="1" applyFill="1" applyBorder="1" applyAlignment="1" applyProtection="1">
      <alignment horizontal="center" vertical="top" wrapText="1"/>
      <protection locked="0"/>
    </xf>
    <xf numFmtId="0" fontId="2" fillId="21" borderId="209" xfId="0" applyFont="1" applyFill="1" applyBorder="1" applyAlignment="1" applyProtection="1">
      <alignment horizontal="center" vertical="top" wrapText="1"/>
      <protection locked="0"/>
    </xf>
    <xf numFmtId="3" fontId="79" fillId="19" borderId="12" xfId="0" applyNumberFormat="1" applyFont="1" applyFill="1" applyBorder="1" applyAlignment="1" applyProtection="1">
      <alignment horizontal="center" vertical="center"/>
    </xf>
    <xf numFmtId="0" fontId="79" fillId="19" borderId="12" xfId="0" applyFont="1" applyFill="1" applyBorder="1" applyAlignment="1" applyProtection="1">
      <alignment horizontal="center" vertical="center"/>
    </xf>
    <xf numFmtId="3" fontId="60" fillId="23" borderId="195" xfId="0" applyNumberFormat="1" applyFont="1" applyFill="1" applyBorder="1" applyAlignment="1" applyProtection="1">
      <alignment horizontal="center" vertical="center"/>
    </xf>
    <xf numFmtId="0" fontId="60" fillId="23" borderId="196" xfId="0" applyFont="1" applyFill="1" applyBorder="1" applyAlignment="1" applyProtection="1">
      <alignment horizontal="center" vertical="center"/>
    </xf>
    <xf numFmtId="0" fontId="60" fillId="23" borderId="197" xfId="0" applyFont="1" applyFill="1" applyBorder="1" applyAlignment="1" applyProtection="1">
      <alignment horizontal="center" vertical="center"/>
    </xf>
    <xf numFmtId="0" fontId="2" fillId="22" borderId="198" xfId="0" applyFont="1" applyFill="1" applyBorder="1" applyAlignment="1" applyProtection="1">
      <alignment horizontal="center" vertical="top" wrapText="1"/>
      <protection locked="0"/>
    </xf>
    <xf numFmtId="0" fontId="2" fillId="22" borderId="199" xfId="0" applyFont="1" applyFill="1" applyBorder="1" applyAlignment="1" applyProtection="1">
      <alignment horizontal="center" vertical="top" wrapText="1"/>
      <protection locked="0"/>
    </xf>
    <xf numFmtId="0" fontId="2" fillId="22" borderId="200" xfId="0" applyFont="1" applyFill="1" applyBorder="1" applyAlignment="1" applyProtection="1">
      <alignment horizontal="center" vertical="top" wrapText="1"/>
      <protection locked="0"/>
    </xf>
    <xf numFmtId="0" fontId="2" fillId="22" borderId="201" xfId="0" applyFont="1" applyFill="1" applyBorder="1" applyAlignment="1" applyProtection="1">
      <alignment horizontal="center" vertical="top" wrapText="1"/>
      <protection locked="0"/>
    </xf>
    <xf numFmtId="0" fontId="2" fillId="22" borderId="202" xfId="0" applyFont="1" applyFill="1" applyBorder="1" applyAlignment="1" applyProtection="1">
      <alignment horizontal="center" vertical="top" wrapText="1"/>
      <protection locked="0"/>
    </xf>
    <xf numFmtId="0" fontId="2" fillId="22" borderId="203" xfId="0" applyFont="1" applyFill="1" applyBorder="1" applyAlignment="1" applyProtection="1">
      <alignment horizontal="center" vertical="top" wrapText="1"/>
      <protection locked="0"/>
    </xf>
    <xf numFmtId="0" fontId="2" fillId="22" borderId="181" xfId="0" applyFont="1" applyFill="1" applyBorder="1" applyAlignment="1" applyProtection="1">
      <alignment horizontal="center" vertical="top" wrapText="1"/>
      <protection locked="0"/>
    </xf>
    <xf numFmtId="0" fontId="2" fillId="22" borderId="182" xfId="0" applyFont="1" applyFill="1" applyBorder="1" applyAlignment="1" applyProtection="1">
      <alignment horizontal="center" vertical="top" wrapText="1"/>
      <protection locked="0"/>
    </xf>
    <xf numFmtId="0" fontId="2" fillId="22" borderId="183" xfId="0" applyFont="1" applyFill="1" applyBorder="1" applyAlignment="1" applyProtection="1">
      <alignment horizontal="center" vertical="top" wrapText="1"/>
      <protection locked="0"/>
    </xf>
    <xf numFmtId="3" fontId="78" fillId="0" borderId="204" xfId="0" applyNumberFormat="1" applyFont="1" applyFill="1" applyBorder="1" applyAlignment="1" applyProtection="1">
      <alignment horizontal="center"/>
    </xf>
    <xf numFmtId="0" fontId="78" fillId="0" borderId="175" xfId="0" applyFont="1" applyFill="1" applyBorder="1" applyAlignment="1" applyProtection="1">
      <alignment horizontal="center"/>
    </xf>
    <xf numFmtId="49" fontId="2" fillId="23" borderId="190" xfId="0" applyNumberFormat="1" applyFont="1" applyFill="1" applyBorder="1" applyAlignment="1" applyProtection="1">
      <alignment horizontal="center" vertical="center"/>
      <protection locked="0"/>
    </xf>
    <xf numFmtId="49" fontId="2" fillId="23" borderId="158" xfId="0" applyNumberFormat="1" applyFont="1" applyFill="1" applyBorder="1" applyAlignment="1" applyProtection="1">
      <alignment horizontal="center" vertical="center"/>
      <protection locked="0"/>
    </xf>
    <xf numFmtId="49" fontId="2" fillId="23" borderId="191" xfId="0" applyNumberFormat="1" applyFont="1" applyFill="1" applyBorder="1" applyAlignment="1" applyProtection="1">
      <alignment horizontal="center" vertical="center"/>
      <protection locked="0"/>
    </xf>
    <xf numFmtId="49" fontId="2" fillId="23" borderId="205" xfId="0" applyNumberFormat="1" applyFont="1" applyFill="1" applyBorder="1" applyAlignment="1" applyProtection="1">
      <alignment horizontal="center" vertical="center"/>
      <protection locked="0"/>
    </xf>
    <xf numFmtId="49" fontId="2" fillId="23" borderId="13" xfId="0" applyNumberFormat="1" applyFont="1" applyFill="1" applyBorder="1" applyAlignment="1" applyProtection="1">
      <alignment horizontal="center" vertical="center"/>
      <protection locked="0"/>
    </xf>
    <xf numFmtId="49" fontId="2" fillId="23" borderId="206" xfId="0" applyNumberFormat="1" applyFont="1" applyFill="1" applyBorder="1" applyAlignment="1" applyProtection="1">
      <alignment horizontal="center" vertical="center"/>
      <protection locked="0"/>
    </xf>
    <xf numFmtId="3" fontId="78" fillId="0" borderId="0" xfId="0" applyNumberFormat="1" applyFont="1" applyFill="1" applyBorder="1" applyAlignment="1" applyProtection="1">
      <alignment horizontal="center"/>
    </xf>
    <xf numFmtId="0" fontId="78" fillId="0" borderId="204" xfId="0" applyFont="1" applyFill="1" applyBorder="1" applyAlignment="1" applyProtection="1">
      <alignment horizontal="center"/>
    </xf>
    <xf numFmtId="3" fontId="130" fillId="0" borderId="0" xfId="0" applyNumberFormat="1" applyFont="1" applyBorder="1" applyAlignment="1" applyProtection="1">
      <alignment horizontal="center"/>
    </xf>
    <xf numFmtId="0" fontId="111" fillId="0" borderId="0" xfId="0" applyFont="1" applyBorder="1" applyAlignment="1" applyProtection="1">
      <alignment horizontal="center"/>
    </xf>
    <xf numFmtId="0" fontId="80" fillId="0" borderId="187" xfId="0" applyNumberFormat="1" applyFont="1" applyFill="1" applyBorder="1" applyAlignment="1" applyProtection="1">
      <alignment horizontal="left" vertical="top" wrapText="1"/>
    </xf>
    <xf numFmtId="0" fontId="80" fillId="0" borderId="188" xfId="0" applyNumberFormat="1" applyFont="1" applyFill="1" applyBorder="1" applyAlignment="1" applyProtection="1">
      <alignment horizontal="left" vertical="top" wrapText="1"/>
    </xf>
    <xf numFmtId="0" fontId="80" fillId="0" borderId="171"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49" fontId="2" fillId="23" borderId="192" xfId="0" applyNumberFormat="1" applyFont="1" applyFill="1" applyBorder="1" applyAlignment="1" applyProtection="1">
      <alignment horizontal="center" vertical="center"/>
      <protection locked="0"/>
    </xf>
    <xf numFmtId="49" fontId="2" fillId="23" borderId="193" xfId="0" applyNumberFormat="1" applyFont="1" applyFill="1" applyBorder="1" applyAlignment="1" applyProtection="1">
      <alignment horizontal="center" vertical="center"/>
      <protection locked="0"/>
    </xf>
    <xf numFmtId="49" fontId="2" fillId="23" borderId="194" xfId="0" applyNumberFormat="1" applyFont="1" applyFill="1" applyBorder="1" applyAlignment="1" applyProtection="1">
      <alignment horizontal="center" vertical="center"/>
      <protection locked="0"/>
    </xf>
    <xf numFmtId="0" fontId="80" fillId="0" borderId="172" xfId="0" applyNumberFormat="1" applyFont="1" applyFill="1" applyBorder="1" applyAlignment="1" applyProtection="1">
      <alignment horizontal="left" vertical="top" wrapText="1"/>
    </xf>
    <xf numFmtId="3" fontId="122" fillId="22" borderId="176" xfId="0" applyNumberFormat="1" applyFont="1" applyFill="1" applyBorder="1" applyAlignment="1" applyProtection="1">
      <alignment horizontal="center" vertical="center"/>
    </xf>
    <xf numFmtId="0" fontId="122" fillId="22" borderId="177" xfId="0" applyFont="1" applyFill="1" applyBorder="1" applyAlignment="1" applyProtection="1">
      <alignment horizontal="center" vertical="center"/>
    </xf>
    <xf numFmtId="0" fontId="0" fillId="0" borderId="177" xfId="0" applyBorder="1" applyAlignment="1">
      <alignment horizontal="center" vertical="center"/>
    </xf>
    <xf numFmtId="3" fontId="122" fillId="22" borderId="178" xfId="0" applyNumberFormat="1" applyFont="1" applyFill="1" applyBorder="1" applyAlignment="1" applyProtection="1">
      <alignment horizontal="center" vertical="center"/>
    </xf>
    <xf numFmtId="0" fontId="122" fillId="22" borderId="179" xfId="0" applyFont="1" applyFill="1" applyBorder="1" applyAlignment="1" applyProtection="1">
      <alignment horizontal="center" vertical="center"/>
    </xf>
    <xf numFmtId="0" fontId="122" fillId="22" borderId="180" xfId="0" applyFont="1" applyFill="1" applyBorder="1" applyAlignment="1" applyProtection="1">
      <alignment horizontal="center" vertical="center"/>
    </xf>
    <xf numFmtId="0" fontId="80" fillId="0" borderId="169" xfId="0" applyNumberFormat="1" applyFont="1" applyFill="1" applyBorder="1" applyAlignment="1" applyProtection="1">
      <alignment horizontal="left" vertical="top" wrapText="1"/>
    </xf>
    <xf numFmtId="0" fontId="80" fillId="0" borderId="170" xfId="0" applyNumberFormat="1" applyFont="1" applyFill="1" applyBorder="1" applyAlignment="1" applyProtection="1">
      <alignment horizontal="left" vertical="top" wrapText="1"/>
    </xf>
    <xf numFmtId="9" fontId="2" fillId="0" borderId="157" xfId="58" applyNumberFormat="1" applyFont="1" applyFill="1" applyBorder="1" applyAlignment="1" applyProtection="1">
      <alignment horizontal="left" vertical="center" wrapText="1"/>
    </xf>
    <xf numFmtId="0" fontId="2" fillId="0" borderId="158" xfId="58" applyNumberFormat="1" applyFont="1" applyFill="1" applyBorder="1" applyAlignment="1" applyProtection="1">
      <alignment horizontal="left" vertical="center" wrapText="1"/>
    </xf>
    <xf numFmtId="0" fontId="2" fillId="0" borderId="159" xfId="58" applyNumberFormat="1" applyFont="1" applyFill="1" applyBorder="1" applyAlignment="1" applyProtection="1">
      <alignment horizontal="left" vertical="center" wrapText="1"/>
    </xf>
    <xf numFmtId="0" fontId="2" fillId="0" borderId="157" xfId="58" applyNumberFormat="1" applyFont="1" applyFill="1" applyBorder="1" applyAlignment="1" applyProtection="1">
      <alignment horizontal="left" vertical="center" wrapText="1"/>
    </xf>
    <xf numFmtId="0" fontId="80" fillId="0" borderId="173" xfId="0" applyNumberFormat="1" applyFont="1" applyFill="1" applyBorder="1" applyAlignment="1" applyProtection="1">
      <alignment horizontal="left" vertical="top" wrapText="1"/>
    </xf>
    <xf numFmtId="0" fontId="80" fillId="0" borderId="174" xfId="0" applyNumberFormat="1" applyFont="1" applyFill="1" applyBorder="1" applyAlignment="1" applyProtection="1">
      <alignment horizontal="left" vertical="top" wrapText="1"/>
    </xf>
    <xf numFmtId="3" fontId="60" fillId="21" borderId="160" xfId="0" applyNumberFormat="1" applyFont="1" applyFill="1" applyBorder="1" applyAlignment="1" applyProtection="1">
      <alignment horizontal="center" vertical="center"/>
    </xf>
    <xf numFmtId="0" fontId="60" fillId="21" borderId="161" xfId="0" applyFont="1" applyFill="1" applyBorder="1" applyAlignment="1" applyProtection="1">
      <alignment horizontal="center" vertical="center"/>
    </xf>
    <xf numFmtId="0" fontId="60" fillId="21" borderId="162" xfId="0" applyFont="1" applyFill="1" applyBorder="1" applyAlignment="1" applyProtection="1">
      <alignment horizontal="center" vertical="center"/>
    </xf>
    <xf numFmtId="0" fontId="80" fillId="0" borderId="163" xfId="0" applyNumberFormat="1" applyFont="1" applyFill="1" applyBorder="1" applyAlignment="1" applyProtection="1">
      <alignment horizontal="left" vertical="center" wrapText="1"/>
    </xf>
    <xf numFmtId="0" fontId="80" fillId="0" borderId="164" xfId="0" applyNumberFormat="1" applyFont="1" applyFill="1" applyBorder="1" applyAlignment="1" applyProtection="1">
      <alignment horizontal="left" vertical="center" wrapText="1"/>
    </xf>
    <xf numFmtId="0" fontId="80" fillId="0" borderId="165" xfId="0" applyNumberFormat="1" applyFont="1" applyFill="1" applyBorder="1" applyAlignment="1" applyProtection="1">
      <alignment horizontal="left" vertical="center" wrapText="1"/>
    </xf>
    <xf numFmtId="0" fontId="2" fillId="21" borderId="184" xfId="0" applyFont="1" applyFill="1" applyBorder="1" applyAlignment="1" applyProtection="1">
      <alignment horizontal="center" vertical="top" wrapText="1"/>
      <protection locked="0"/>
    </xf>
    <xf numFmtId="0" fontId="2" fillId="21" borderId="185" xfId="0" applyFont="1" applyFill="1" applyBorder="1" applyAlignment="1" applyProtection="1">
      <alignment horizontal="center" vertical="top" wrapText="1"/>
      <protection locked="0"/>
    </xf>
    <xf numFmtId="0" fontId="2" fillId="21" borderId="186" xfId="0" applyFont="1" applyFill="1" applyBorder="1" applyAlignment="1" applyProtection="1">
      <alignment horizontal="center" vertical="top" wrapText="1"/>
      <protection locked="0"/>
    </xf>
    <xf numFmtId="0" fontId="26" fillId="0" borderId="210" xfId="0" applyFont="1" applyFill="1" applyBorder="1" applyAlignment="1" applyProtection="1">
      <alignment horizontal="left"/>
      <protection locked="0"/>
    </xf>
    <xf numFmtId="0" fontId="26" fillId="0" borderId="212" xfId="0" applyFont="1" applyFill="1" applyBorder="1" applyAlignment="1" applyProtection="1">
      <alignment horizontal="left"/>
      <protection locked="0"/>
    </xf>
    <xf numFmtId="0" fontId="26" fillId="0" borderId="235" xfId="0" applyFont="1" applyFill="1" applyBorder="1" applyAlignment="1" applyProtection="1">
      <alignment horizontal="left" vertical="top" wrapText="1"/>
      <protection locked="0"/>
    </xf>
    <xf numFmtId="0" fontId="26" fillId="0" borderId="236" xfId="0" applyFont="1" applyFill="1" applyBorder="1" applyAlignment="1" applyProtection="1">
      <alignment horizontal="left" vertical="top" wrapText="1"/>
      <protection locked="0"/>
    </xf>
    <xf numFmtId="0" fontId="26" fillId="0" borderId="237" xfId="0" applyFont="1" applyFill="1" applyBorder="1" applyAlignment="1" applyProtection="1">
      <alignment horizontal="left" vertical="top" wrapText="1"/>
      <protection locked="0"/>
    </xf>
    <xf numFmtId="0" fontId="26" fillId="0" borderId="230" xfId="0" applyFont="1" applyFill="1" applyBorder="1" applyAlignment="1" applyProtection="1">
      <alignment horizontal="left" vertical="top" wrapText="1"/>
      <protection locked="0"/>
    </xf>
    <xf numFmtId="0" fontId="26" fillId="0" borderId="193" xfId="0" applyFont="1" applyFill="1" applyBorder="1" applyAlignment="1" applyProtection="1">
      <alignment horizontal="left" vertical="top" wrapText="1"/>
      <protection locked="0"/>
    </xf>
    <xf numFmtId="0" fontId="26" fillId="0" borderId="238" xfId="0" applyFont="1" applyFill="1" applyBorder="1" applyAlignment="1" applyProtection="1">
      <alignment horizontal="left" vertical="top" wrapText="1"/>
      <protection locked="0"/>
    </xf>
    <xf numFmtId="0" fontId="124" fillId="24" borderId="225" xfId="55" applyNumberFormat="1" applyFont="1" applyFill="1" applyBorder="1" applyAlignment="1">
      <alignment horizontal="center" vertical="center" wrapText="1"/>
    </xf>
    <xf numFmtId="0" fontId="124" fillId="24" borderId="72" xfId="55" applyNumberFormat="1" applyFont="1" applyFill="1" applyBorder="1" applyAlignment="1">
      <alignment horizontal="center" vertical="center" wrapText="1"/>
    </xf>
    <xf numFmtId="0" fontId="125" fillId="24" borderId="219" xfId="0" applyNumberFormat="1" applyFont="1" applyFill="1" applyBorder="1" applyAlignment="1">
      <alignment horizontal="center" vertical="center" textRotation="90"/>
    </xf>
    <xf numFmtId="0" fontId="26" fillId="24" borderId="220" xfId="0" applyFont="1" applyFill="1" applyBorder="1" applyAlignment="1">
      <alignment horizontal="center" vertical="center" textRotation="90"/>
    </xf>
    <xf numFmtId="0" fontId="26" fillId="24" borderId="103" xfId="0" applyFont="1" applyFill="1" applyBorder="1" applyAlignment="1">
      <alignment horizontal="center" vertical="center" textRotation="90"/>
    </xf>
    <xf numFmtId="0" fontId="26" fillId="0" borderId="218" xfId="0" applyFont="1" applyFill="1" applyBorder="1" applyAlignment="1" applyProtection="1">
      <alignment horizontal="left"/>
      <protection locked="0"/>
    </xf>
    <xf numFmtId="0" fontId="124" fillId="24" borderId="222" xfId="55" applyNumberFormat="1" applyFont="1" applyFill="1" applyBorder="1" applyAlignment="1">
      <alignment horizontal="center" vertical="center" wrapText="1"/>
    </xf>
    <xf numFmtId="0" fontId="124" fillId="24" borderId="223" xfId="55" applyNumberFormat="1" applyFont="1" applyFill="1" applyBorder="1" applyAlignment="1">
      <alignment horizontal="center" vertical="center" wrapText="1"/>
    </xf>
    <xf numFmtId="0" fontId="124" fillId="24" borderId="224" xfId="55" applyNumberFormat="1" applyFont="1" applyFill="1" applyBorder="1" applyAlignment="1">
      <alignment horizontal="center" vertical="center" wrapText="1"/>
    </xf>
    <xf numFmtId="0" fontId="26" fillId="0" borderId="226" xfId="0" applyFont="1" applyFill="1" applyBorder="1" applyAlignment="1" applyProtection="1">
      <alignment horizontal="left"/>
      <protection locked="0"/>
    </xf>
    <xf numFmtId="0" fontId="26" fillId="0" borderId="213" xfId="0" applyFont="1" applyFill="1" applyBorder="1" applyAlignment="1" applyProtection="1">
      <alignment horizontal="left"/>
      <protection locked="0"/>
    </xf>
    <xf numFmtId="0" fontId="26" fillId="0" borderId="218" xfId="0" applyFont="1" applyBorder="1" applyAlignment="1" applyProtection="1">
      <alignment horizontal="left"/>
      <protection locked="0"/>
    </xf>
    <xf numFmtId="0" fontId="26" fillId="0" borderId="210" xfId="0" applyFont="1" applyBorder="1" applyAlignment="1" applyProtection="1">
      <alignment horizontal="left"/>
      <protection locked="0"/>
    </xf>
    <xf numFmtId="0" fontId="26" fillId="0" borderId="227" xfId="0" applyFont="1" applyFill="1" applyBorder="1" applyAlignment="1" applyProtection="1">
      <alignment horizontal="left" vertical="top" wrapText="1"/>
      <protection locked="0"/>
    </xf>
    <xf numFmtId="0" fontId="26" fillId="0" borderId="228" xfId="0" applyFont="1" applyFill="1" applyBorder="1" applyAlignment="1" applyProtection="1">
      <alignment horizontal="left" vertical="top" wrapText="1"/>
      <protection locked="0"/>
    </xf>
    <xf numFmtId="0" fontId="26" fillId="0" borderId="229" xfId="0" applyFont="1" applyFill="1" applyBorder="1" applyAlignment="1" applyProtection="1">
      <alignment horizontal="left" vertical="top" wrapText="1"/>
      <protection locked="0"/>
    </xf>
    <xf numFmtId="0" fontId="26" fillId="0" borderId="231" xfId="0" applyFont="1" applyFill="1" applyBorder="1" applyAlignment="1" applyProtection="1">
      <alignment horizontal="left" vertical="top" wrapText="1"/>
      <protection locked="0"/>
    </xf>
    <xf numFmtId="0" fontId="26" fillId="0" borderId="216" xfId="0" applyFont="1" applyFill="1" applyBorder="1" applyAlignment="1" applyProtection="1">
      <alignment horizontal="left"/>
      <protection locked="0"/>
    </xf>
    <xf numFmtId="0" fontId="26" fillId="0" borderId="158" xfId="0" applyFont="1" applyFill="1" applyBorder="1" applyAlignment="1" applyProtection="1">
      <alignment horizontal="left"/>
      <protection locked="0"/>
    </xf>
    <xf numFmtId="0" fontId="26" fillId="0" borderId="217" xfId="0" applyFont="1" applyFill="1" applyBorder="1" applyAlignment="1" applyProtection="1">
      <alignment horizontal="left"/>
      <protection locked="0"/>
    </xf>
    <xf numFmtId="0" fontId="26" fillId="0" borderId="232" xfId="0" applyFont="1" applyFill="1" applyBorder="1" applyAlignment="1" applyProtection="1">
      <alignment horizontal="left"/>
      <protection locked="0"/>
    </xf>
    <xf numFmtId="0" fontId="26" fillId="0" borderId="233" xfId="0" applyFont="1" applyFill="1" applyBorder="1" applyAlignment="1" applyProtection="1">
      <alignment horizontal="left"/>
      <protection locked="0"/>
    </xf>
    <xf numFmtId="0" fontId="26" fillId="0" borderId="234" xfId="0" applyFont="1" applyFill="1" applyBorder="1" applyAlignment="1" applyProtection="1">
      <alignment horizontal="left"/>
      <protection locked="0"/>
    </xf>
    <xf numFmtId="0" fontId="26" fillId="0" borderId="226" xfId="0" applyFont="1" applyBorder="1" applyAlignment="1" applyProtection="1">
      <alignment horizontal="left"/>
      <protection locked="0"/>
    </xf>
    <xf numFmtId="0" fontId="26" fillId="0" borderId="213" xfId="0" applyFont="1" applyBorder="1" applyAlignment="1" applyProtection="1">
      <alignment horizontal="left"/>
      <protection locked="0"/>
    </xf>
    <xf numFmtId="0" fontId="26" fillId="0" borderId="158" xfId="0" applyFont="1" applyFill="1" applyBorder="1" applyAlignment="1" applyProtection="1">
      <alignment horizontal="left" vertical="center" wrapText="1"/>
      <protection locked="0"/>
    </xf>
    <xf numFmtId="0" fontId="26" fillId="0" borderId="217" xfId="0" applyFont="1" applyFill="1" applyBorder="1" applyAlignment="1" applyProtection="1">
      <alignment horizontal="left" vertical="center" wrapText="1"/>
      <protection locked="0"/>
    </xf>
    <xf numFmtId="0" fontId="26" fillId="0" borderId="233" xfId="0" applyFont="1" applyFill="1" applyBorder="1" applyAlignment="1" applyProtection="1">
      <alignment horizontal="left" vertical="center" wrapText="1"/>
      <protection locked="0"/>
    </xf>
    <xf numFmtId="0" fontId="26" fillId="0" borderId="234" xfId="0" applyFont="1" applyFill="1" applyBorder="1" applyAlignment="1" applyProtection="1">
      <alignment horizontal="left" vertical="center" wrapText="1"/>
      <protection locked="0"/>
    </xf>
    <xf numFmtId="0" fontId="26" fillId="0" borderId="221" xfId="0" applyFont="1" applyBorder="1" applyAlignment="1" applyProtection="1">
      <alignment horizontal="left"/>
      <protection locked="0"/>
    </xf>
    <xf numFmtId="0" fontId="26" fillId="0" borderId="28" xfId="0" applyFont="1" applyBorder="1" applyAlignment="1" applyProtection="1">
      <alignment horizontal="left"/>
      <protection locked="0"/>
    </xf>
    <xf numFmtId="0" fontId="26" fillId="0" borderId="28" xfId="0" applyFont="1" applyFill="1" applyBorder="1" applyAlignment="1" applyProtection="1">
      <alignment horizontal="left"/>
      <protection locked="0"/>
    </xf>
    <xf numFmtId="0" fontId="26" fillId="0" borderId="221" xfId="0" applyFont="1" applyFill="1" applyBorder="1" applyAlignment="1" applyProtection="1">
      <alignment horizontal="left"/>
      <protection locked="0"/>
    </xf>
    <xf numFmtId="164" fontId="15" fillId="31" borderId="0" xfId="62" applyFont="1" applyFill="1" applyBorder="1" applyAlignment="1" applyProtection="1">
      <alignment horizontal="center"/>
      <protection locked="0"/>
    </xf>
    <xf numFmtId="0" fontId="26" fillId="0" borderId="215" xfId="0" applyFont="1" applyFill="1" applyBorder="1" applyAlignment="1" applyProtection="1">
      <alignment horizontal="left"/>
      <protection locked="0"/>
    </xf>
    <xf numFmtId="0" fontId="0" fillId="21" borderId="116" xfId="0" applyFill="1" applyBorder="1" applyAlignment="1" applyProtection="1">
      <alignment horizontal="center"/>
      <protection locked="0"/>
    </xf>
    <xf numFmtId="0" fontId="0" fillId="21" borderId="117" xfId="0" applyFill="1" applyBorder="1" applyAlignment="1" applyProtection="1">
      <alignment horizontal="center"/>
      <protection locked="0"/>
    </xf>
    <xf numFmtId="0" fontId="0" fillId="21" borderId="118" xfId="0" applyFill="1" applyBorder="1" applyAlignment="1" applyProtection="1">
      <alignment horizontal="center"/>
      <protection locked="0"/>
    </xf>
    <xf numFmtId="0" fontId="0" fillId="21" borderId="97" xfId="0" applyFill="1" applyBorder="1" applyAlignment="1" applyProtection="1">
      <alignment horizontal="center"/>
      <protection locked="0"/>
    </xf>
    <xf numFmtId="0" fontId="0" fillId="21" borderId="100" xfId="0" applyFill="1" applyBorder="1" applyAlignment="1" applyProtection="1">
      <alignment horizontal="center"/>
      <protection locked="0"/>
    </xf>
    <xf numFmtId="0" fontId="0" fillId="21" borderId="102" xfId="0" applyFill="1" applyBorder="1" applyAlignment="1" applyProtection="1">
      <alignment horizontal="center"/>
      <protection locked="0"/>
    </xf>
    <xf numFmtId="0" fontId="124" fillId="24" borderId="211" xfId="55" applyNumberFormat="1" applyFont="1" applyFill="1" applyBorder="1" applyAlignment="1">
      <alignment horizontal="center" vertical="center" wrapText="1"/>
    </xf>
    <xf numFmtId="0" fontId="26" fillId="0" borderId="214" xfId="0" applyFont="1" applyFill="1" applyBorder="1" applyAlignment="1" applyProtection="1">
      <alignment horizontal="left"/>
      <protection locked="0"/>
    </xf>
    <xf numFmtId="0" fontId="26" fillId="0" borderId="212" xfId="0" applyFont="1" applyBorder="1" applyAlignment="1" applyProtection="1">
      <alignment horizontal="left"/>
      <protection locked="0"/>
    </xf>
    <xf numFmtId="0" fontId="26" fillId="0" borderId="214" xfId="0" applyFont="1" applyBorder="1" applyAlignment="1" applyProtection="1">
      <alignment horizontal="left"/>
      <protection locked="0"/>
    </xf>
    <xf numFmtId="0" fontId="26" fillId="0" borderId="215" xfId="0" applyFont="1" applyBorder="1" applyAlignment="1" applyProtection="1">
      <alignment horizontal="left"/>
      <protection locked="0"/>
    </xf>
    <xf numFmtId="164" fontId="17" fillId="32" borderId="0" xfId="40" applyFont="1" applyFill="1" applyAlignment="1">
      <alignment horizontal="center" vertical="center"/>
    </xf>
    <xf numFmtId="0" fontId="33" fillId="0" borderId="0" xfId="0" applyFont="1" applyAlignment="1">
      <alignment horizontal="center"/>
    </xf>
  </cellXfs>
  <cellStyles count="67">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ueno" xfId="66" builtinId="26" hidden="1"/>
    <cellStyle name="Calculation" xfId="26" xr:uid="{00000000-0005-0000-0000-00001A000000}"/>
    <cellStyle name="Check Cell" xfId="27" xr:uid="{00000000-0005-0000-0000-00001B000000}"/>
    <cellStyle name="Encabezado 1" xfId="65" builtinId="16" hidden="1"/>
    <cellStyle name="Euro" xfId="28" xr:uid="{00000000-0005-0000-0000-00001D000000}"/>
    <cellStyle name="Explanatory Text" xfId="29" xr:uid="{00000000-0005-0000-0000-00001E000000}"/>
    <cellStyle name="Good" xfId="30" xr:uid="{00000000-0005-0000-0000-00001F000000}"/>
    <cellStyle name="Heading 1" xfId="31" xr:uid="{00000000-0005-0000-0000-000020000000}"/>
    <cellStyle name="Heading 2" xfId="32" xr:uid="{00000000-0005-0000-0000-000021000000}"/>
    <cellStyle name="Heading 3" xfId="33" xr:uid="{00000000-0005-0000-0000-000022000000}"/>
    <cellStyle name="Heading 4" xfId="34" xr:uid="{00000000-0005-0000-0000-000023000000}"/>
    <cellStyle name="Input" xfId="35" xr:uid="{00000000-0005-0000-0000-000024000000}"/>
    <cellStyle name="Linked Cell" xfId="36" xr:uid="{00000000-0005-0000-0000-000025000000}"/>
    <cellStyle name="Millares" xfId="37" builtinId="3"/>
    <cellStyle name="Millares 2" xfId="38" xr:uid="{00000000-0005-0000-0000-000027000000}"/>
    <cellStyle name="Millares 3" xfId="39" xr:uid="{00000000-0005-0000-0000-000028000000}"/>
    <cellStyle name="Normal" xfId="0" builtinId="0"/>
    <cellStyle name="Normal 2" xfId="40" xr:uid="{00000000-0005-0000-0000-00002A000000}"/>
    <cellStyle name="Normal 2 2" xfId="41" xr:uid="{00000000-0005-0000-0000-00002B000000}"/>
    <cellStyle name="Normal 2 3" xfId="42" xr:uid="{00000000-0005-0000-0000-00002C000000}"/>
    <cellStyle name="Normal 2 4" xfId="43" xr:uid="{00000000-0005-0000-0000-00002D000000}"/>
    <cellStyle name="Normal 2 5" xfId="44" xr:uid="{00000000-0005-0000-0000-00002E000000}"/>
    <cellStyle name="Normal 2 6" xfId="45" xr:uid="{00000000-0005-0000-0000-00002F000000}"/>
    <cellStyle name="Normal 2 7" xfId="46" xr:uid="{00000000-0005-0000-0000-000030000000}"/>
    <cellStyle name="Normal 2 8" xfId="47" xr:uid="{00000000-0005-0000-0000-000031000000}"/>
    <cellStyle name="Normal 2_Dashboard ver 2.2 ES" xfId="48" xr:uid="{00000000-0005-0000-0000-000032000000}"/>
    <cellStyle name="Normal 2_Ficticia HIV Dashboard_ES - Set Up and Maintenance Guide" xfId="49" xr:uid="{00000000-0005-0000-0000-000033000000}"/>
    <cellStyle name="Normal 2_Prototipo" xfId="50" xr:uid="{00000000-0005-0000-0000-000034000000}"/>
    <cellStyle name="Normal 3" xfId="51" xr:uid="{00000000-0005-0000-0000-000035000000}"/>
    <cellStyle name="Normal 4" xfId="52" xr:uid="{00000000-0005-0000-0000-000036000000}"/>
    <cellStyle name="Normal 5" xfId="53" xr:uid="{00000000-0005-0000-0000-000037000000}"/>
    <cellStyle name="Normal 6" xfId="54" xr:uid="{00000000-0005-0000-0000-000038000000}"/>
    <cellStyle name="Normal_TZ_R3HIV_Phase_2_21_August_08" xfId="55" xr:uid="{00000000-0005-0000-0000-000039000000}"/>
    <cellStyle name="Note" xfId="56" xr:uid="{00000000-0005-0000-0000-00003A000000}"/>
    <cellStyle name="Output" xfId="57" xr:uid="{00000000-0005-0000-0000-00003B000000}"/>
    <cellStyle name="Porcentaje" xfId="58" builtinId="5"/>
    <cellStyle name="Title" xfId="59" xr:uid="{00000000-0005-0000-0000-00003D000000}"/>
    <cellStyle name="Título 3 3" xfId="60" xr:uid="{00000000-0005-0000-0000-00003E000000}"/>
    <cellStyle name="Título 3 3_Prototipo" xfId="61" xr:uid="{00000000-0005-0000-0000-00003F000000}"/>
    <cellStyle name="Título 3 3_PrototipoRep1" xfId="62" xr:uid="{00000000-0005-0000-0000-000040000000}"/>
    <cellStyle name="Título 3 7" xfId="63" xr:uid="{00000000-0005-0000-0000-000041000000}"/>
    <cellStyle name="Warning Text" xfId="64" xr:uid="{00000000-0005-0000-0000-000042000000}"/>
  </cellStyles>
  <dxfs count="41">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40042103705187E-2"/>
          <c:y val="5.2501471369970951E-2"/>
          <c:w val="0.91983466128019342"/>
          <c:h val="0.64314302428214409"/>
        </c:manualLayout>
      </c:layout>
      <c:barChart>
        <c:barDir val="col"/>
        <c:grouping val="clustered"/>
        <c:varyColors val="0"/>
        <c:ser>
          <c:idx val="0"/>
          <c:order val="0"/>
          <c:tx>
            <c:v>Presupuesto acumulado</c:v>
          </c:tx>
          <c:spPr>
            <a:solidFill>
              <a:srgbClr val="993366"/>
            </a:solidFill>
            <a:ln w="3175">
              <a:solidFill>
                <a:srgbClr val="000000"/>
              </a:solidFill>
              <a:prstDash val="solid"/>
            </a:ln>
            <a:effectLst>
              <a:outerShdw blurRad="63500" dist="38100" dir="2700000" algn="br">
                <a:srgbClr val="000000"/>
              </a:outerShdw>
            </a:effectLst>
          </c:spPr>
          <c:invertIfNegative val="0"/>
          <c:val>
            <c:numRef>
              <c:f>'Introducción de datos'!$C$33:$N$33</c:f>
              <c:numCache>
                <c:formatCode>#,##0</c:formatCode>
                <c:ptCount val="12"/>
                <c:pt idx="0">
                  <c:v>359935</c:v>
                </c:pt>
                <c:pt idx="1">
                  <c:v>1660995</c:v>
                </c:pt>
                <c:pt idx="2">
                  <c:v>2775063</c:v>
                </c:pt>
                <c:pt idx="3">
                  <c:v>3492989</c:v>
                </c:pt>
                <c:pt idx="4">
                  <c:v>3963654</c:v>
                </c:pt>
                <c:pt idx="5">
                  <c:v>4964601</c:v>
                </c:pt>
                <c:pt idx="6">
                  <c:v>5331224</c:v>
                </c:pt>
                <c:pt idx="7">
                  <c:v>5649211</c:v>
                </c:pt>
                <c:pt idx="8">
                  <c:v>5770382</c:v>
                </c:pt>
                <c:pt idx="9">
                  <c:v>5895874</c:v>
                </c:pt>
                <c:pt idx="10">
                  <c:v>6029251</c:v>
                </c:pt>
                <c:pt idx="11">
                  <c:v>6264584</c:v>
                </c:pt>
              </c:numCache>
            </c:numRef>
          </c:val>
          <c:extLst>
            <c:ext xmlns:c16="http://schemas.microsoft.com/office/drawing/2014/chart" uri="{C3380CC4-5D6E-409C-BE32-E72D297353CC}">
              <c16:uniqueId val="{00000000-9B83-4BEC-BD9B-CE7546D340B2}"/>
            </c:ext>
          </c:extLst>
        </c:ser>
        <c:ser>
          <c:idx val="1"/>
          <c:order val="1"/>
          <c:tx>
            <c:v>Desembolsos acumulados</c:v>
          </c:tx>
          <c:spPr>
            <a:solidFill>
              <a:srgbClr val="0070C0"/>
            </a:solidFill>
            <a:ln w="3175">
              <a:solidFill>
                <a:srgbClr val="000000"/>
              </a:solidFill>
              <a:prstDash val="solid"/>
            </a:ln>
            <a:effectLst>
              <a:outerShdw blurRad="50800" dist="50800" dir="5400000" algn="ctr" rotWithShape="0">
                <a:schemeClr val="tx1"/>
              </a:outerShdw>
            </a:effectLst>
          </c:spPr>
          <c:invertIfNegative val="0"/>
          <c:val>
            <c:numRef>
              <c:f>'Introducción de datos'!$C$34:$N$34</c:f>
              <c:numCache>
                <c:formatCode>#,##0</c:formatCode>
                <c:ptCount val="12"/>
                <c:pt idx="0">
                  <c:v>359934.94</c:v>
                </c:pt>
                <c:pt idx="1">
                  <c:v>1660995.31</c:v>
                </c:pt>
                <c:pt idx="2">
                  <c:v>2775063.64</c:v>
                </c:pt>
                <c:pt idx="3">
                  <c:v>3492989.3000000003</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B83-4BEC-BD9B-CE7546D340B2}"/>
            </c:ext>
          </c:extLst>
        </c:ser>
        <c:dLbls>
          <c:showLegendKey val="0"/>
          <c:showVal val="0"/>
          <c:showCatName val="0"/>
          <c:showSerName val="0"/>
          <c:showPercent val="0"/>
          <c:showBubbleSize val="0"/>
        </c:dLbls>
        <c:gapWidth val="70"/>
        <c:axId val="446222200"/>
        <c:axId val="446224944"/>
      </c:barChart>
      <c:catAx>
        <c:axId val="446222200"/>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s-PE"/>
                  <a:t>Periodo de referencia</a:t>
                </a:r>
              </a:p>
            </c:rich>
          </c:tx>
          <c:layout>
            <c:manualLayout>
              <c:xMode val="edge"/>
              <c:yMode val="edge"/>
              <c:x val="0.48066271590265053"/>
              <c:y val="0.786956630421197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s-PE"/>
          </a:p>
        </c:txPr>
        <c:crossAx val="446224944"/>
        <c:crosses val="autoZero"/>
        <c:auto val="1"/>
        <c:lblAlgn val="ctr"/>
        <c:lblOffset val="100"/>
        <c:tickLblSkip val="1"/>
        <c:tickMarkSkip val="1"/>
        <c:noMultiLvlLbl val="0"/>
      </c:catAx>
      <c:valAx>
        <c:axId val="4462249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s-PE"/>
          </a:p>
        </c:txPr>
        <c:crossAx val="446222200"/>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s-PE"/>
          </a:p>
        </c:txPr>
      </c:legendEntry>
      <c:legendEntry>
        <c:idx val="1"/>
        <c:txPr>
          <a:bodyPr/>
          <a:lstStyle/>
          <a:p>
            <a:pPr>
              <a:defRPr sz="675" b="0" i="0" u="none" strike="noStrike" baseline="0">
                <a:solidFill>
                  <a:srgbClr val="000000"/>
                </a:solidFill>
                <a:latin typeface="Arial"/>
                <a:ea typeface="Arial"/>
                <a:cs typeface="Arial"/>
              </a:defRPr>
            </a:pPr>
            <a:endParaRPr lang="es-PE"/>
          </a:p>
        </c:txPr>
      </c:legendEntry>
      <c:layout>
        <c:manualLayout>
          <c:xMode val="edge"/>
          <c:yMode val="edge"/>
          <c:x val="0.21757352657961779"/>
          <c:y val="0.88744952335503513"/>
          <c:w val="0.67154888657785705"/>
          <c:h val="9.523854972673873E-2"/>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s-PE"/>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s-PE"/>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70926377451803E-2"/>
          <c:y val="8.9668135695512255E-2"/>
          <c:w val="0.89820337535808881"/>
          <c:h val="0.67514831582503343"/>
        </c:manualLayout>
      </c:layout>
      <c:barChart>
        <c:barDir val="col"/>
        <c:grouping val="clustered"/>
        <c:varyColors val="0"/>
        <c:ser>
          <c:idx val="0"/>
          <c:order val="0"/>
          <c:tx>
            <c:v>Meta</c:v>
          </c:tx>
          <c:spPr>
            <a:solidFill>
              <a:srgbClr val="0066CC"/>
            </a:solidFill>
            <a:ln w="25400">
              <a:noFill/>
            </a:ln>
          </c:spPr>
          <c:invertIfNegative val="0"/>
          <c:cat>
            <c:strRef>
              <c:f>'Introducción de datos'!$H$116:$S$116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datos'!$H$122:$S$122</c:f>
              <c:numCache>
                <c:formatCode>#,##0</c:formatCode>
                <c:ptCount val="12"/>
                <c:pt idx="1">
                  <c:v>57165</c:v>
                </c:pt>
                <c:pt idx="5">
                  <c:v>59452</c:v>
                </c:pt>
              </c:numCache>
            </c:numRef>
          </c:val>
          <c:extLst>
            <c:ext xmlns:c16="http://schemas.microsoft.com/office/drawing/2014/chart" uri="{C3380CC4-5D6E-409C-BE32-E72D297353CC}">
              <c16:uniqueId val="{00000000-41F4-4E13-AC82-3072D26D8CAA}"/>
            </c:ext>
          </c:extLst>
        </c:ser>
        <c:ser>
          <c:idx val="1"/>
          <c:order val="1"/>
          <c:tx>
            <c:v>Logro</c:v>
          </c:tx>
          <c:spPr>
            <a:solidFill>
              <a:srgbClr val="00CCFF"/>
            </a:solidFill>
          </c:spPr>
          <c:invertIfNegative val="0"/>
          <c:cat>
            <c:strRef>
              <c:f>'Introducción de datos'!$H$116:$S$116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datos'!$H$123:$S$123</c:f>
              <c:numCache>
                <c:formatCode>#,##0</c:formatCode>
                <c:ptCount val="12"/>
                <c:pt idx="1">
                  <c:v>66292</c:v>
                </c:pt>
                <c:pt idx="3">
                  <c:v>68597</c:v>
                </c:pt>
              </c:numCache>
            </c:numRef>
          </c:val>
          <c:extLst>
            <c:ext xmlns:c16="http://schemas.microsoft.com/office/drawing/2014/chart" uri="{C3380CC4-5D6E-409C-BE32-E72D297353CC}">
              <c16:uniqueId val="{00000001-41F4-4E13-AC82-3072D26D8CAA}"/>
            </c:ext>
          </c:extLst>
        </c:ser>
        <c:dLbls>
          <c:showLegendKey val="0"/>
          <c:showVal val="0"/>
          <c:showCatName val="0"/>
          <c:showSerName val="0"/>
          <c:showPercent val="0"/>
          <c:showBubbleSize val="0"/>
        </c:dLbls>
        <c:gapWidth val="150"/>
        <c:axId val="452649352"/>
        <c:axId val="452650920"/>
      </c:barChart>
      <c:catAx>
        <c:axId val="452649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PE"/>
          </a:p>
        </c:txPr>
        <c:crossAx val="452650920"/>
        <c:crosses val="autoZero"/>
        <c:auto val="1"/>
        <c:lblAlgn val="ctr"/>
        <c:lblOffset val="100"/>
        <c:tickLblSkip val="1"/>
        <c:tickMarkSkip val="1"/>
        <c:noMultiLvlLbl val="0"/>
      </c:catAx>
      <c:valAx>
        <c:axId val="45265092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PE"/>
          </a:p>
        </c:txPr>
        <c:crossAx val="452649352"/>
        <c:crosses val="autoZero"/>
        <c:crossBetween val="between"/>
      </c:valAx>
      <c:spPr>
        <a:noFill/>
        <a:ln w="25400">
          <a:noFill/>
        </a:ln>
      </c:spPr>
    </c:plotArea>
    <c:legend>
      <c:legendPos val="r"/>
      <c:layout>
        <c:manualLayout>
          <c:xMode val="edge"/>
          <c:yMode val="edge"/>
          <c:x val="0.31694079112045598"/>
          <c:y val="0.87434532023703226"/>
          <c:w val="0.3306019581339798"/>
          <c:h val="8.3769786508645194E-2"/>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s-P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s-PE"/>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559E-2"/>
          <c:w val="0.83314004319329582"/>
          <c:h val="0.65320736566206339"/>
        </c:manualLayout>
      </c:layout>
      <c:barChart>
        <c:barDir val="col"/>
        <c:grouping val="clustered"/>
        <c:varyColors val="0"/>
        <c:ser>
          <c:idx val="0"/>
          <c:order val="0"/>
          <c:tx>
            <c:v>Meta</c:v>
          </c:tx>
          <c:spPr>
            <a:solidFill>
              <a:srgbClr val="0066CC"/>
            </a:solidFill>
            <a:ln w="25400">
              <a:noFill/>
            </a:ln>
          </c:spPr>
          <c:invertIfNegative val="0"/>
          <c:cat>
            <c:strRef>
              <c:f>'Introducción de datos'!$H$116:$S$116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datos'!$H$118:$S$118</c:f>
              <c:numCache>
                <c:formatCode>#,##0</c:formatCode>
                <c:ptCount val="12"/>
                <c:pt idx="1">
                  <c:v>65453</c:v>
                </c:pt>
                <c:pt idx="5">
                  <c:v>78544</c:v>
                </c:pt>
              </c:numCache>
            </c:numRef>
          </c:val>
          <c:extLst>
            <c:ext xmlns:c16="http://schemas.microsoft.com/office/drawing/2014/chart" uri="{C3380CC4-5D6E-409C-BE32-E72D297353CC}">
              <c16:uniqueId val="{00000000-4708-460A-B612-139CC02399C4}"/>
            </c:ext>
          </c:extLst>
        </c:ser>
        <c:ser>
          <c:idx val="1"/>
          <c:order val="1"/>
          <c:tx>
            <c:v>Logro</c:v>
          </c:tx>
          <c:spPr>
            <a:solidFill>
              <a:srgbClr val="00CCFF"/>
            </a:solidFill>
            <a:ln w="12700">
              <a:solidFill>
                <a:srgbClr val="000000"/>
              </a:solidFill>
              <a:prstDash val="solid"/>
            </a:ln>
          </c:spPr>
          <c:invertIfNegative val="0"/>
          <c:cat>
            <c:strRef>
              <c:f>'Introducción de datos'!$H$116:$S$116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datos'!$H$119:$S$119</c:f>
              <c:numCache>
                <c:formatCode>#,##0</c:formatCode>
                <c:ptCount val="12"/>
                <c:pt idx="1">
                  <c:v>16821</c:v>
                </c:pt>
                <c:pt idx="3">
                  <c:v>9261</c:v>
                </c:pt>
              </c:numCache>
            </c:numRef>
          </c:val>
          <c:extLst>
            <c:ext xmlns:c16="http://schemas.microsoft.com/office/drawing/2014/chart" uri="{C3380CC4-5D6E-409C-BE32-E72D297353CC}">
              <c16:uniqueId val="{00000001-4708-460A-B612-139CC02399C4}"/>
            </c:ext>
          </c:extLst>
        </c:ser>
        <c:dLbls>
          <c:showLegendKey val="0"/>
          <c:showVal val="0"/>
          <c:showCatName val="0"/>
          <c:showSerName val="0"/>
          <c:showPercent val="0"/>
          <c:showBubbleSize val="0"/>
        </c:dLbls>
        <c:gapWidth val="150"/>
        <c:axId val="446222984"/>
        <c:axId val="446223376"/>
      </c:barChart>
      <c:catAx>
        <c:axId val="446222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PE"/>
          </a:p>
        </c:txPr>
        <c:crossAx val="446223376"/>
        <c:crosses val="autoZero"/>
        <c:auto val="1"/>
        <c:lblAlgn val="ctr"/>
        <c:lblOffset val="100"/>
        <c:tickLblSkip val="1"/>
        <c:tickMarkSkip val="1"/>
        <c:noMultiLvlLbl val="0"/>
      </c:catAx>
      <c:valAx>
        <c:axId val="44622337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PE"/>
          </a:p>
        </c:txPr>
        <c:crossAx val="446222984"/>
        <c:crosses val="autoZero"/>
        <c:crossBetween val="between"/>
      </c:valAx>
      <c:spPr>
        <a:noFill/>
        <a:ln w="25400">
          <a:noFill/>
        </a:ln>
      </c:spPr>
    </c:plotArea>
    <c:legend>
      <c:legendPos val="r"/>
      <c:layout>
        <c:manualLayout>
          <c:xMode val="edge"/>
          <c:yMode val="edge"/>
          <c:x val="0.20365535248041775"/>
          <c:y val="0.91191922438266648"/>
          <c:w val="0.53263707571801566"/>
          <c:h val="7.2538968343242805E-2"/>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s-P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s-PE"/>
    </a:p>
  </c:txPr>
  <c:printSettings>
    <c:headerFooter alignWithMargins="0"/>
    <c:pageMargins b="1" l="0.75000000000000078" r="0.75000000000000078"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s-PE"/>
              <a:t>Fecha </a:t>
            </a:r>
          </a:p>
        </c:rich>
      </c:tx>
      <c:overlay val="0"/>
      <c:spPr>
        <a:noFill/>
        <a:ln w="25400">
          <a:noFill/>
        </a:ln>
      </c:spPr>
    </c:title>
    <c:autoTitleDeleted val="0"/>
    <c:plotArea>
      <c:layout/>
      <c:areaChart>
        <c:grouping val="standard"/>
        <c:varyColors val="0"/>
        <c:ser>
          <c:idx val="0"/>
          <c:order val="0"/>
          <c:tx>
            <c:v>Periodo de referencia anterior</c:v>
          </c:tx>
          <c:spPr>
            <a:solidFill>
              <a:srgbClr val="339966"/>
            </a:solidFill>
            <a:ln w="12700">
              <a:solidFill>
                <a:srgbClr val="000000"/>
              </a:solidFill>
              <a:prstDash val="solid"/>
            </a:ln>
          </c:spPr>
          <c:cat>
            <c:strRef>
              <c:f>'Introducción de datos'!$C$30:$M$30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'Introducción de datos'!$C$33:$M$33</c:f>
              <c:numCache>
                <c:formatCode>#,##0</c:formatCode>
                <c:ptCount val="11"/>
                <c:pt idx="0">
                  <c:v>359935</c:v>
                </c:pt>
                <c:pt idx="1">
                  <c:v>1660995</c:v>
                </c:pt>
                <c:pt idx="2">
                  <c:v>2775063</c:v>
                </c:pt>
                <c:pt idx="3">
                  <c:v>3492989</c:v>
                </c:pt>
                <c:pt idx="4">
                  <c:v>3963654</c:v>
                </c:pt>
                <c:pt idx="5">
                  <c:v>4964601</c:v>
                </c:pt>
                <c:pt idx="6">
                  <c:v>5331224</c:v>
                </c:pt>
                <c:pt idx="7">
                  <c:v>5649211</c:v>
                </c:pt>
                <c:pt idx="8">
                  <c:v>5770382</c:v>
                </c:pt>
                <c:pt idx="9">
                  <c:v>5895874</c:v>
                </c:pt>
                <c:pt idx="10">
                  <c:v>6029251</c:v>
                </c:pt>
              </c:numCache>
            </c:numRef>
          </c:val>
          <c:extLst>
            <c:ext xmlns:c16="http://schemas.microsoft.com/office/drawing/2014/chart" uri="{C3380CC4-5D6E-409C-BE32-E72D297353CC}">
              <c16:uniqueId val="{00000000-B01A-4309-AB0F-24D2B90D6D56}"/>
            </c:ext>
          </c:extLst>
        </c:ser>
        <c:ser>
          <c:idx val="1"/>
          <c:order val="1"/>
          <c:tx>
            <c:v>Decisión del MCP</c:v>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'Introducción de datos'!$C$30:$M$30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'Introducción de datos'!$C$34:$M$34</c:f>
              <c:numCache>
                <c:formatCode>#,##0</c:formatCode>
                <c:ptCount val="11"/>
                <c:pt idx="0">
                  <c:v>359934.94</c:v>
                </c:pt>
                <c:pt idx="1">
                  <c:v>1660995.31</c:v>
                </c:pt>
                <c:pt idx="2">
                  <c:v>2775063.64</c:v>
                </c:pt>
                <c:pt idx="3">
                  <c:v>3492989.3000000003</c:v>
                </c:pt>
                <c:pt idx="5">
                  <c:v>0</c:v>
                </c:pt>
                <c:pt idx="6">
                  <c:v>0</c:v>
                </c:pt>
                <c:pt idx="7">
                  <c:v>0</c:v>
                </c:pt>
                <c:pt idx="8">
                  <c:v>0</c:v>
                </c:pt>
                <c:pt idx="9">
                  <c:v>0</c:v>
                </c:pt>
                <c:pt idx="10">
                  <c:v>0</c:v>
                </c:pt>
              </c:numCache>
            </c:numRef>
          </c:val>
          <c:extLst>
            <c:ext xmlns:c16="http://schemas.microsoft.com/office/drawing/2014/chart" uri="{C3380CC4-5D6E-409C-BE32-E72D297353CC}">
              <c16:uniqueId val="{00000001-B01A-4309-AB0F-24D2B90D6D56}"/>
            </c:ext>
          </c:extLst>
        </c:ser>
        <c:dLbls>
          <c:showLegendKey val="0"/>
          <c:showVal val="0"/>
          <c:showCatName val="0"/>
          <c:showSerName val="0"/>
          <c:showPercent val="0"/>
          <c:showBubbleSize val="0"/>
        </c:dLbls>
        <c:dropLines>
          <c:spPr>
            <a:ln w="3175">
              <a:solidFill>
                <a:srgbClr val="000000"/>
              </a:solidFill>
              <a:prstDash val="solid"/>
            </a:ln>
          </c:spPr>
        </c:dropLines>
        <c:axId val="452967616"/>
        <c:axId val="452965264"/>
      </c:areaChart>
      <c:catAx>
        <c:axId val="452967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s-PE"/>
          </a:p>
        </c:txPr>
        <c:crossAx val="452965264"/>
        <c:crosses val="autoZero"/>
        <c:auto val="1"/>
        <c:lblAlgn val="ctr"/>
        <c:lblOffset val="100"/>
        <c:tickLblSkip val="8"/>
        <c:tickMarkSkip val="1"/>
        <c:noMultiLvlLbl val="0"/>
      </c:catAx>
      <c:valAx>
        <c:axId val="452965264"/>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s-PE"/>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s-PE"/>
          </a:p>
        </c:txPr>
        <c:crossAx val="452967616"/>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s-PE"/>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s-PE"/>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7176470588235294"/>
          <c:y val="2.1008446462313021E-2"/>
          <c:w val="0.62823536282984305"/>
          <c:h val="0.68487535467140448"/>
        </c:manualLayout>
      </c:layout>
      <c:barChart>
        <c:barDir val="col"/>
        <c:grouping val="stacked"/>
        <c:varyColors val="0"/>
        <c:ser>
          <c:idx val="0"/>
          <c:order val="0"/>
          <c:tx>
            <c:strRef>
              <c:f>Financiamiento!$M$16</c:f>
              <c:strCache>
                <c:ptCount val="1"/>
                <c:pt idx="0">
                  <c:v>Periodo Anterior</c:v>
                </c:pt>
              </c:strCache>
            </c:strRef>
          </c:tx>
          <c:spPr>
            <a:solidFill>
              <a:schemeClr val="accent1">
                <a:lumMod val="75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'Introducción de datos'!$B$52:$B$55</c:f>
              <c:strCache>
                <c:ptCount val="4"/>
                <c:pt idx="0">
                  <c:v> Desembolsado por el Fondo Mundial </c:v>
                </c:pt>
                <c:pt idx="1">
                  <c:v> Gasto RP + desembolso a SRs </c:v>
                </c:pt>
                <c:pt idx="2">
                  <c:v> Desembolsado a los subreceptores </c:v>
                </c:pt>
                <c:pt idx="3">
                  <c:v> Gastos de los subreceptores </c:v>
                </c:pt>
              </c:strCache>
            </c:strRef>
          </c:cat>
          <c:val>
            <c:numRef>
              <c:f>'Introducción de datos'!$C$52:$C$55</c:f>
              <c:numCache>
                <c:formatCode>#,##0</c:formatCode>
                <c:ptCount val="4"/>
                <c:pt idx="0">
                  <c:v>0</c:v>
                </c:pt>
                <c:pt idx="1">
                  <c:v>0</c:v>
                </c:pt>
                <c:pt idx="2">
                  <c:v>0</c:v>
                </c:pt>
                <c:pt idx="3">
                  <c:v>0</c:v>
                </c:pt>
              </c:numCache>
            </c:numRef>
          </c:val>
          <c:extLst>
            <c:ext xmlns:c16="http://schemas.microsoft.com/office/drawing/2014/chart" uri="{C3380CC4-5D6E-409C-BE32-E72D297353CC}">
              <c16:uniqueId val="{00000000-B0F6-44D4-A50C-FE0F1D5AAD37}"/>
            </c:ext>
          </c:extLst>
        </c:ser>
        <c:ser>
          <c:idx val="1"/>
          <c:order val="1"/>
          <c:tx>
            <c:strRef>
              <c:f>Financiamiento!$M$15</c:f>
              <c:strCache>
                <c:ptCount val="1"/>
                <c:pt idx="0">
                  <c:v>Periodo Actual</c:v>
                </c:pt>
              </c:strCache>
            </c:strRef>
          </c:tx>
          <c:spPr>
            <a:solidFill>
              <a:schemeClr val="accent5">
                <a:lumMod val="60000"/>
                <a:lumOff val="40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'Introducción de datos'!$B$52:$B$55</c:f>
              <c:strCache>
                <c:ptCount val="4"/>
                <c:pt idx="0">
                  <c:v> Desembolsado por el Fondo Mundial </c:v>
                </c:pt>
                <c:pt idx="1">
                  <c:v> Gasto RP + desembolso a SRs </c:v>
                </c:pt>
                <c:pt idx="2">
                  <c:v> Desembolsado a los subreceptores </c:v>
                </c:pt>
                <c:pt idx="3">
                  <c:v> Gastos de los subreceptores </c:v>
                </c:pt>
              </c:strCache>
            </c:strRef>
          </c:cat>
          <c:val>
            <c:numRef>
              <c:f>'Introducción de datos'!$D$52:$D$55</c:f>
              <c:numCache>
                <c:formatCode>#,##0</c:formatCode>
                <c:ptCount val="4"/>
                <c:pt idx="0">
                  <c:v>3492989.3000000003</c:v>
                </c:pt>
                <c:pt idx="1">
                  <c:v>2012359.1500000001</c:v>
                </c:pt>
              </c:numCache>
            </c:numRef>
          </c:val>
          <c:extLst>
            <c:ext xmlns:c16="http://schemas.microsoft.com/office/drawing/2014/chart" uri="{C3380CC4-5D6E-409C-BE32-E72D297353CC}">
              <c16:uniqueId val="{00000001-B0F6-44D4-A50C-FE0F1D5AAD37}"/>
            </c:ext>
          </c:extLst>
        </c:ser>
        <c:dLbls>
          <c:showLegendKey val="0"/>
          <c:showVal val="0"/>
          <c:showCatName val="0"/>
          <c:showSerName val="0"/>
          <c:showPercent val="0"/>
          <c:showBubbleSize val="0"/>
        </c:dLbls>
        <c:gapWidth val="150"/>
        <c:overlap val="100"/>
        <c:axId val="446225336"/>
        <c:axId val="446224160"/>
      </c:barChart>
      <c:catAx>
        <c:axId val="4462253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446224160"/>
        <c:crossesAt val="0"/>
        <c:auto val="1"/>
        <c:lblAlgn val="ctr"/>
        <c:lblOffset val="100"/>
        <c:noMultiLvlLbl val="0"/>
      </c:catAx>
      <c:valAx>
        <c:axId val="446224160"/>
        <c:scaling>
          <c:orientation val="minMax"/>
        </c:scaling>
        <c:delete val="0"/>
        <c:axPos val="l"/>
        <c:majorGridlines/>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s-PE"/>
          </a:p>
        </c:txPr>
        <c:crossAx val="446225336"/>
        <c:crosses val="autoZero"/>
        <c:crossBetween val="between"/>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Calibri"/>
                <a:ea typeface="Calibri"/>
                <a:cs typeface="Calibri"/>
              </a:defRPr>
            </a:pPr>
            <a:endParaRPr lang="es-PE"/>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92638036809816"/>
          <c:y val="8.9622641509433956E-2"/>
          <c:w val="0.75869120654396727"/>
          <c:h val="0.59905660377358494"/>
        </c:manualLayout>
      </c:layout>
      <c:barChart>
        <c:barDir val="col"/>
        <c:grouping val="clustered"/>
        <c:varyColors val="0"/>
        <c:ser>
          <c:idx val="0"/>
          <c:order val="0"/>
          <c:tx>
            <c:strRef>
              <c:f>Financiamiento!$C$32</c:f>
              <c:strCache>
                <c:ptCount val="1"/>
                <c:pt idx="0">
                  <c:v>Presupuesto acumulado</c:v>
                </c:pt>
              </c:strCache>
            </c:strRef>
          </c:tx>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'Introducción de datos'!$B$39:$B$44</c:f>
              <c:strCache>
                <c:ptCount val="6"/>
                <c:pt idx="0">
                  <c:v> MÓDULO 1: Programas de prevención integral para hombres que tienen relaciones sexuales con otros hombres (HSH). </c:v>
                </c:pt>
                <c:pt idx="1">
                  <c:v> MÓDULO 2: Programas de prevención integral en mujeres transgénero (MT) </c:v>
                </c:pt>
                <c:pt idx="2">
                  <c:v> MÓDULO 3: Tratamiento, atención y apoyo. </c:v>
                </c:pt>
                <c:pt idx="3">
                  <c:v> MÓDULO 4: Coinfección TB/VIH </c:v>
                </c:pt>
                <c:pt idx="4">
                  <c:v> MÓDULO 5: SSRS:  Respuestas y sistemas comunitarios </c:v>
                </c:pt>
                <c:pt idx="5">
                  <c:v> MÓDULO 6: SSRS: Sistemas de información en salud y monitoreo y evaluación </c:v>
                </c:pt>
              </c:strCache>
            </c:strRef>
          </c:cat>
          <c:val>
            <c:numRef>
              <c:f>'Introducción de datos'!$C$39:$C$44</c:f>
              <c:numCache>
                <c:formatCode>#,##0</c:formatCode>
                <c:ptCount val="6"/>
                <c:pt idx="0">
                  <c:v>198973.21963129501</c:v>
                </c:pt>
                <c:pt idx="1">
                  <c:v>196853.989631295</c:v>
                </c:pt>
                <c:pt idx="2">
                  <c:v>1119099.1453065199</c:v>
                </c:pt>
                <c:pt idx="3">
                  <c:v>529641.86613402842</c:v>
                </c:pt>
                <c:pt idx="4">
                  <c:v>1448421.079296862</c:v>
                </c:pt>
                <c:pt idx="5">
                  <c:v>673245.47146426095</c:v>
                </c:pt>
              </c:numCache>
            </c:numRef>
          </c:val>
          <c:extLst>
            <c:ext xmlns:c16="http://schemas.microsoft.com/office/drawing/2014/chart" uri="{C3380CC4-5D6E-409C-BE32-E72D297353CC}">
              <c16:uniqueId val="{00000000-338B-4817-8131-721E67FF93B7}"/>
            </c:ext>
          </c:extLst>
        </c:ser>
        <c:ser>
          <c:idx val="1"/>
          <c:order val="1"/>
          <c:tx>
            <c:strRef>
              <c:f>Financiamiento!$C$33</c:f>
              <c:strCache>
                <c:ptCount val="1"/>
                <c:pt idx="0">
                  <c:v>Gastos acumulados</c:v>
                </c:pt>
              </c:strCache>
            </c:strRef>
          </c:tx>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invertIfNegative val="0"/>
          <c:cat>
            <c:strRef>
              <c:f>'Introducción de datos'!$B$39:$B$44</c:f>
              <c:strCache>
                <c:ptCount val="6"/>
                <c:pt idx="0">
                  <c:v> MÓDULO 1: Programas de prevención integral para hombres que tienen relaciones sexuales con otros hombres (HSH). </c:v>
                </c:pt>
                <c:pt idx="1">
                  <c:v> MÓDULO 2: Programas de prevención integral en mujeres transgénero (MT) </c:v>
                </c:pt>
                <c:pt idx="2">
                  <c:v> MÓDULO 3: Tratamiento, atención y apoyo. </c:v>
                </c:pt>
                <c:pt idx="3">
                  <c:v> MÓDULO 4: Coinfección TB/VIH </c:v>
                </c:pt>
                <c:pt idx="4">
                  <c:v> MÓDULO 5: SSRS:  Respuestas y sistemas comunitarios </c:v>
                </c:pt>
                <c:pt idx="5">
                  <c:v> MÓDULO 6: SSRS: Sistemas de información en salud y monitoreo y evaluación </c:v>
                </c:pt>
              </c:strCache>
            </c:strRef>
          </c:cat>
          <c:val>
            <c:numRef>
              <c:f>'Introducción de datos'!$D$39:$D$44</c:f>
              <c:numCache>
                <c:formatCode>#,##0</c:formatCode>
                <c:ptCount val="6"/>
                <c:pt idx="0">
                  <c:v>8394.33</c:v>
                </c:pt>
                <c:pt idx="1">
                  <c:v>6582.4</c:v>
                </c:pt>
                <c:pt idx="2">
                  <c:v>1225574.23</c:v>
                </c:pt>
                <c:pt idx="3">
                  <c:v>83429.319999999992</c:v>
                </c:pt>
                <c:pt idx="4">
                  <c:v>688378.87</c:v>
                </c:pt>
                <c:pt idx="5">
                  <c:v>131348.5</c:v>
                </c:pt>
              </c:numCache>
            </c:numRef>
          </c:val>
          <c:extLst>
            <c:ext xmlns:c16="http://schemas.microsoft.com/office/drawing/2014/chart" uri="{C3380CC4-5D6E-409C-BE32-E72D297353CC}">
              <c16:uniqueId val="{00000001-338B-4817-8131-721E67FF93B7}"/>
            </c:ext>
          </c:extLst>
        </c:ser>
        <c:dLbls>
          <c:showLegendKey val="0"/>
          <c:showVal val="0"/>
          <c:showCatName val="0"/>
          <c:showSerName val="0"/>
          <c:showPercent val="0"/>
          <c:showBubbleSize val="0"/>
        </c:dLbls>
        <c:gapWidth val="150"/>
        <c:axId val="446222592"/>
        <c:axId val="446219848"/>
      </c:barChart>
      <c:catAx>
        <c:axId val="446222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s-PE"/>
          </a:p>
        </c:txPr>
        <c:crossAx val="446219848"/>
        <c:crosses val="autoZero"/>
        <c:auto val="1"/>
        <c:lblAlgn val="ctr"/>
        <c:lblOffset val="100"/>
        <c:tickMarkSkip val="1"/>
        <c:noMultiLvlLbl val="0"/>
      </c:catAx>
      <c:valAx>
        <c:axId val="44621984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s-PE"/>
          </a:p>
        </c:txPr>
        <c:crossAx val="446222592"/>
        <c:crosses val="autoZero"/>
        <c:crossBetween val="between"/>
      </c:valAx>
      <c:dTable>
        <c:showHorzBorder val="1"/>
        <c:showVertBorder val="1"/>
        <c:showOutline val="1"/>
        <c:showKeys val="1"/>
        <c:spPr>
          <a:ln w="3175">
            <a:solidFill>
              <a:srgbClr val="000000"/>
            </a:solidFill>
            <a:prstDash val="solid"/>
          </a:ln>
        </c:spPr>
      </c:dTable>
      <c:spPr>
        <a:noFill/>
        <a:ln w="12700">
          <a:solidFill>
            <a:srgbClr val="000000"/>
          </a:solidFill>
          <a:prstDash val="solid"/>
        </a:ln>
      </c:spPr>
    </c:plotArea>
    <c:plotVisOnly val="1"/>
    <c:dispBlanksAs val="gap"/>
    <c:showDLblsOverMax val="0"/>
  </c:chart>
  <c:spPr>
    <a:noFill/>
    <a:ln w="9525">
      <a:noFill/>
    </a:ln>
  </c:spPr>
  <c:txPr>
    <a:bodyPr/>
    <a:lstStyle/>
    <a:p>
      <a:pPr>
        <a:defRPr sz="500" b="0" i="0" u="none" strike="noStrike" baseline="0">
          <a:solidFill>
            <a:srgbClr val="000000"/>
          </a:solidFill>
          <a:latin typeface="Arial"/>
          <a:ea typeface="Arial"/>
          <a:cs typeface="Arial"/>
        </a:defRPr>
      </a:pPr>
      <a:endParaRPr lang="es-PE"/>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071851661086791E-2"/>
          <c:y val="0.19565355846324772"/>
          <c:w val="0.86498068503734227"/>
          <c:h val="0.42029282929142103"/>
        </c:manualLayout>
      </c:layout>
      <c:barChart>
        <c:barDir val="bar"/>
        <c:grouping val="percentStacked"/>
        <c:varyColors val="0"/>
        <c:ser>
          <c:idx val="2"/>
          <c:order val="0"/>
          <c:tx>
            <c:strRef>
              <c:f>'Introducción de datos'!$D$78</c:f>
              <c:strCache>
                <c:ptCount val="1"/>
                <c:pt idx="0">
                  <c:v> Cubiertos </c:v>
                </c:pt>
              </c:strCache>
            </c:strRef>
          </c:tx>
          <c:spPr>
            <a:solidFill>
              <a:srgbClr val="33CC33"/>
            </a:solidFill>
            <a:effectLst>
              <a:outerShdw blurRad="50800" dist="38100" dir="2700000" algn="tl" rotWithShape="0">
                <a:prstClr val="black">
                  <a:alpha val="40000"/>
                </a:prstClr>
              </a:outerShdw>
            </a:effectLst>
          </c:spPr>
          <c:invertIfNegative val="0"/>
          <c:dPt>
            <c:idx val="0"/>
            <c:invertIfNegative val="0"/>
            <c:bubble3D val="0"/>
            <c:spPr>
              <a:solidFill>
                <a:srgbClr val="99CC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0-8E02-490C-806D-76DFCB3672EA}"/>
              </c:ext>
            </c:extLst>
          </c:dPt>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datos'!$D$79</c:f>
              <c:numCache>
                <c:formatCode>General</c:formatCode>
                <c:ptCount val="1"/>
                <c:pt idx="0">
                  <c:v>9</c:v>
                </c:pt>
              </c:numCache>
            </c:numRef>
          </c:val>
          <c:extLst>
            <c:ext xmlns:c16="http://schemas.microsoft.com/office/drawing/2014/chart" uri="{C3380CC4-5D6E-409C-BE32-E72D297353CC}">
              <c16:uniqueId val="{00000001-8E02-490C-806D-76DFCB3672EA}"/>
            </c:ext>
          </c:extLst>
        </c:ser>
        <c:ser>
          <c:idx val="0"/>
          <c:order val="1"/>
          <c:tx>
            <c:strRef>
              <c:f>'Introducción de datos'!$E$78</c:f>
              <c:strCache>
                <c:ptCount val="1"/>
                <c:pt idx="0">
                  <c:v> Vacantes </c:v>
                </c:pt>
              </c:strCache>
            </c:strRef>
          </c:tx>
          <c:spPr>
            <a:solidFill>
              <a:srgbClr val="FF5050"/>
            </a:solidFill>
          </c:spPr>
          <c:invertIfNegative val="0"/>
          <c:dPt>
            <c:idx val="0"/>
            <c:invertIfNegative val="0"/>
            <c:bubble3D val="0"/>
            <c:spPr>
              <a:solidFill>
                <a:srgbClr val="FF505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8E02-490C-806D-76DFCB3672EA}"/>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datos'!$E$79</c:f>
              <c:numCache>
                <c:formatCode>General</c:formatCode>
                <c:ptCount val="1"/>
                <c:pt idx="0">
                  <c:v>0</c:v>
                </c:pt>
              </c:numCache>
            </c:numRef>
          </c:val>
          <c:extLst>
            <c:ext xmlns:c16="http://schemas.microsoft.com/office/drawing/2014/chart" uri="{C3380CC4-5D6E-409C-BE32-E72D297353CC}">
              <c16:uniqueId val="{00000003-8E02-490C-806D-76DFCB3672EA}"/>
            </c:ext>
          </c:extLst>
        </c:ser>
        <c:dLbls>
          <c:showLegendKey val="0"/>
          <c:showVal val="0"/>
          <c:showCatName val="0"/>
          <c:showSerName val="0"/>
          <c:showPercent val="0"/>
          <c:showBubbleSize val="0"/>
        </c:dLbls>
        <c:gapWidth val="79"/>
        <c:overlap val="100"/>
        <c:axId val="452650528"/>
        <c:axId val="452652880"/>
      </c:barChart>
      <c:catAx>
        <c:axId val="452650528"/>
        <c:scaling>
          <c:orientation val="minMax"/>
        </c:scaling>
        <c:delete val="1"/>
        <c:axPos val="l"/>
        <c:majorTickMark val="out"/>
        <c:minorTickMark val="none"/>
        <c:tickLblPos val="nextTo"/>
        <c:crossAx val="452652880"/>
        <c:crosses val="autoZero"/>
        <c:auto val="1"/>
        <c:lblAlgn val="ctr"/>
        <c:lblOffset val="100"/>
        <c:noMultiLvlLbl val="0"/>
      </c:catAx>
      <c:valAx>
        <c:axId val="452652880"/>
        <c:scaling>
          <c:orientation val="minMax"/>
        </c:scaling>
        <c:delete val="0"/>
        <c:axPos val="t"/>
        <c:majorGridlines/>
        <c:numFmt formatCode="0%" sourceLinked="1"/>
        <c:majorTickMark val="out"/>
        <c:minorTickMark val="none"/>
        <c:tickLblPos val="low"/>
        <c:txPr>
          <a:bodyPr rot="0" vert="horz"/>
          <a:lstStyle/>
          <a:p>
            <a:pPr>
              <a:defRPr/>
            </a:pPr>
            <a:endParaRPr lang="es-PE"/>
          </a:p>
        </c:txPr>
        <c:crossAx val="452650528"/>
        <c:crosses val="max"/>
        <c:crossBetween val="between"/>
      </c:valAx>
    </c:plotArea>
    <c:legend>
      <c:legendPos val="r"/>
      <c:layout>
        <c:manualLayout>
          <c:xMode val="edge"/>
          <c:yMode val="edge"/>
          <c:wMode val="edge"/>
          <c:hMode val="edge"/>
          <c:x val="0.32636014443914763"/>
          <c:y val="0.77142857142857146"/>
          <c:w val="0.75313881171951635"/>
          <c:h val="0.9285714285714286"/>
        </c:manualLayout>
      </c:layout>
      <c:overlay val="0"/>
      <c:spPr>
        <a:noFill/>
        <a:ln>
          <a:noFill/>
        </a:ln>
        <a:effectLst>
          <a:outerShdw blurRad="50800" dist="50800" dir="5400000" algn="ctr" rotWithShape="0">
            <a:schemeClr val="accent4">
              <a:lumMod val="75000"/>
            </a:schemeClr>
          </a:outerShdw>
        </a:effectLst>
      </c:spPr>
    </c:legend>
    <c:plotVisOnly val="1"/>
    <c:dispBlanksAs val="gap"/>
    <c:showDLblsOverMax val="0"/>
  </c:chart>
  <c:spPr>
    <a:noFill/>
    <a:ln w="9525">
      <a:noFill/>
    </a:ln>
  </c:sp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822E-2"/>
          <c:y val="0.13661275087917776"/>
          <c:w val="0.89702517162471396"/>
          <c:h val="0.60656061390354932"/>
        </c:manualLayout>
      </c:layout>
      <c:barChart>
        <c:barDir val="col"/>
        <c:grouping val="clustered"/>
        <c:varyColors val="0"/>
        <c:ser>
          <c:idx val="0"/>
          <c:order val="0"/>
          <c:tx>
            <c:strRef>
              <c:f>'Introducción de datos'!$C$83</c:f>
              <c:strCache>
                <c:ptCount val="1"/>
                <c:pt idx="0">
                  <c:v> Identificados </c:v>
                </c:pt>
              </c:strCache>
            </c:strRef>
          </c:tx>
          <c:spPr>
            <a:solidFill>
              <a:srgbClr val="FFFFFF"/>
            </a:solidFill>
            <a:ln w="12700">
              <a:solidFill>
                <a:srgbClr val="000000"/>
              </a:solidFill>
              <a:prstDash val="solid"/>
            </a:ln>
            <a:effectLst>
              <a:outerShdw blurRad="50800" dist="38100" dir="2700000" algn="tl" rotWithShape="0">
                <a:prstClr val="black">
                  <a:alpha val="40000"/>
                </a:prstClr>
              </a:outerShdw>
            </a:effectLst>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extLst>
                <c:ext xmlns:c16="http://schemas.microsoft.com/office/drawing/2014/chart" uri="{C3380CC4-5D6E-409C-BE32-E72D297353CC}">
                  <c16:uniqueId val="{00000000-2A98-469B-864C-D3BAAA668E4F}"/>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datos'!$C$84</c:f>
              <c:numCache>
                <c:formatCode>General</c:formatCode>
                <c:ptCount val="1"/>
                <c:pt idx="0">
                  <c:v>0</c:v>
                </c:pt>
              </c:numCache>
            </c:numRef>
          </c:val>
          <c:extLst>
            <c:ext xmlns:c16="http://schemas.microsoft.com/office/drawing/2014/chart" uri="{C3380CC4-5D6E-409C-BE32-E72D297353CC}">
              <c16:uniqueId val="{00000001-CCD5-4B67-9D0A-8AC8159470CE}"/>
            </c:ext>
          </c:extLst>
        </c:ser>
        <c:ser>
          <c:idx val="1"/>
          <c:order val="1"/>
          <c:tx>
            <c:strRef>
              <c:f>'Introducción de datos'!$D$83</c:f>
              <c:strCache>
                <c:ptCount val="1"/>
                <c:pt idx="0">
                  <c:v> Evaluados </c:v>
                </c:pt>
              </c:strCache>
            </c:strRef>
          </c:tx>
          <c:spPr>
            <a:solidFill>
              <a:schemeClr val="bg1">
                <a:lumMod val="95000"/>
              </a:schemeClr>
            </a:solidFill>
            <a:ln w="12700">
              <a:solidFill>
                <a:srgbClr val="000000"/>
              </a:solidFill>
              <a:prstDash val="solid"/>
            </a:ln>
            <a:effectLst>
              <a:outerShdw blurRad="50800" dist="38100" dir="2700000" algn="tl" rotWithShape="0">
                <a:prstClr val="black">
                  <a:alpha val="40000"/>
                </a:prstClr>
              </a:outerShdw>
            </a:effectLst>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extLst>
                <c:ext xmlns:c16="http://schemas.microsoft.com/office/drawing/2014/chart" uri="{C3380CC4-5D6E-409C-BE32-E72D297353CC}">
                  <c16:uniqueId val="{00000001-2A98-469B-864C-D3BAAA668E4F}"/>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datos'!$D$84</c:f>
              <c:numCache>
                <c:formatCode>General</c:formatCode>
                <c:ptCount val="1"/>
                <c:pt idx="0">
                  <c:v>0</c:v>
                </c:pt>
              </c:numCache>
            </c:numRef>
          </c:val>
          <c:extLst>
            <c:ext xmlns:c16="http://schemas.microsoft.com/office/drawing/2014/chart" uri="{C3380CC4-5D6E-409C-BE32-E72D297353CC}">
              <c16:uniqueId val="{00000003-CCD5-4B67-9D0A-8AC8159470CE}"/>
            </c:ext>
          </c:extLst>
        </c:ser>
        <c:ser>
          <c:idx val="2"/>
          <c:order val="2"/>
          <c:tx>
            <c:strRef>
              <c:f>'Introducción de datos'!$E$83</c:f>
              <c:strCache>
                <c:ptCount val="1"/>
                <c:pt idx="0">
                  <c:v> Aprobados </c:v>
                </c:pt>
              </c:strCache>
            </c:strRef>
          </c:tx>
          <c:spPr>
            <a:solidFill>
              <a:schemeClr val="bg1">
                <a:lumMod val="85000"/>
              </a:schemeClr>
            </a:solidFill>
            <a:ln w="12700">
              <a:solidFill>
                <a:srgbClr val="000000"/>
              </a:solidFill>
              <a:prstDash val="solid"/>
            </a:ln>
            <a:effectLst>
              <a:outerShdw blurRad="50800" dist="38100" dir="2700000" algn="tl" rotWithShape="0">
                <a:prstClr val="black">
                  <a:alpha val="40000"/>
                </a:prstClr>
              </a:outerShdw>
            </a:effectLst>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extLst>
                <c:ext xmlns:c16="http://schemas.microsoft.com/office/drawing/2014/chart" uri="{C3380CC4-5D6E-409C-BE32-E72D297353CC}">
                  <c16:uniqueId val="{00000002-2A98-469B-864C-D3BAAA668E4F}"/>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datos'!$E$84</c:f>
              <c:numCache>
                <c:formatCode>General</c:formatCode>
                <c:ptCount val="1"/>
                <c:pt idx="0">
                  <c:v>0</c:v>
                </c:pt>
              </c:numCache>
            </c:numRef>
          </c:val>
          <c:extLst>
            <c:ext xmlns:c16="http://schemas.microsoft.com/office/drawing/2014/chart" uri="{C3380CC4-5D6E-409C-BE32-E72D297353CC}">
              <c16:uniqueId val="{00000005-CCD5-4B67-9D0A-8AC8159470CE}"/>
            </c:ext>
          </c:extLst>
        </c:ser>
        <c:ser>
          <c:idx val="3"/>
          <c:order val="3"/>
          <c:tx>
            <c:strRef>
              <c:f>'Introducción de datos'!$F$83</c:f>
              <c:strCache>
                <c:ptCount val="1"/>
                <c:pt idx="0">
                  <c:v> Firmados </c:v>
                </c:pt>
              </c:strCache>
            </c:strRef>
          </c:tx>
          <c:spPr>
            <a:solidFill>
              <a:schemeClr val="bg1">
                <a:lumMod val="75000"/>
              </a:schemeClr>
            </a:solidFill>
            <a:ln w="12700">
              <a:solidFill>
                <a:srgbClr val="000000"/>
              </a:solidFill>
              <a:prstDash val="solid"/>
            </a:ln>
            <a:effectLst>
              <a:outerShdw blurRad="50800" dist="38100" dir="2700000" algn="tl" rotWithShape="0">
                <a:prstClr val="black">
                  <a:alpha val="40000"/>
                </a:prstClr>
              </a:outerShdw>
            </a:effectLst>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extLst>
                <c:ext xmlns:c16="http://schemas.microsoft.com/office/drawing/2014/chart" uri="{C3380CC4-5D6E-409C-BE32-E72D297353CC}">
                  <c16:uniqueId val="{00000003-2A98-469B-864C-D3BAAA668E4F}"/>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datos'!$F$84</c:f>
              <c:numCache>
                <c:formatCode>General</c:formatCode>
                <c:ptCount val="1"/>
                <c:pt idx="0">
                  <c:v>0</c:v>
                </c:pt>
              </c:numCache>
            </c:numRef>
          </c:val>
          <c:extLst>
            <c:ext xmlns:c16="http://schemas.microsoft.com/office/drawing/2014/chart" uri="{C3380CC4-5D6E-409C-BE32-E72D297353CC}">
              <c16:uniqueId val="{00000007-CCD5-4B67-9D0A-8AC8159470CE}"/>
            </c:ext>
          </c:extLst>
        </c:ser>
        <c:ser>
          <c:idx val="4"/>
          <c:order val="4"/>
          <c:tx>
            <c:strRef>
              <c:f>'Introducción de datos'!$G$83</c:f>
              <c:strCache>
                <c:ptCount val="1"/>
                <c:pt idx="0">
                  <c:v> Que reciben financiación </c:v>
                </c:pt>
              </c:strCache>
            </c:strRef>
          </c:tx>
          <c:spPr>
            <a:solidFill>
              <a:schemeClr val="bg1">
                <a:lumMod val="65000"/>
              </a:schemeClr>
            </a:solidFill>
            <a:effectLst>
              <a:outerShdw blurRad="50800" dist="38100" dir="2700000" algn="tl" rotWithShape="0">
                <a:prstClr val="black">
                  <a:alpha val="40000"/>
                </a:prstClr>
              </a:outerShdw>
            </a:effectLst>
          </c:spPr>
          <c:invertIfNegative val="0"/>
          <c:dPt>
            <c:idx val="0"/>
            <c:invertIfNegative val="0"/>
            <c:bubble3D val="0"/>
            <c:spPr>
              <a:solidFill>
                <a:schemeClr val="bg1">
                  <a:lumMod val="65000"/>
                </a:schemeClr>
              </a:solidFill>
              <a:ln>
                <a:solidFill>
                  <a:schemeClr val="tx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8-CCD5-4B67-9D0A-8AC8159470CE}"/>
              </c:ext>
            </c:extLst>
          </c:dPt>
          <c:dLbls>
            <c:spPr>
              <a:noFill/>
              <a:ln w="25400">
                <a:noFill/>
              </a:ln>
            </c:spPr>
            <c:txPr>
              <a:bodyPr/>
              <a:lstStyle/>
              <a:p>
                <a:pPr>
                  <a:defRPr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datos'!$G$84</c:f>
              <c:numCache>
                <c:formatCode>General</c:formatCode>
                <c:ptCount val="1"/>
                <c:pt idx="0">
                  <c:v>0</c:v>
                </c:pt>
              </c:numCache>
            </c:numRef>
          </c:val>
          <c:extLst>
            <c:ext xmlns:c16="http://schemas.microsoft.com/office/drawing/2014/chart" uri="{C3380CC4-5D6E-409C-BE32-E72D297353CC}">
              <c16:uniqueId val="{00000009-CCD5-4B67-9D0A-8AC8159470CE}"/>
            </c:ext>
          </c:extLst>
        </c:ser>
        <c:dLbls>
          <c:showLegendKey val="0"/>
          <c:showVal val="0"/>
          <c:showCatName val="0"/>
          <c:showSerName val="0"/>
          <c:showPercent val="0"/>
          <c:showBubbleSize val="0"/>
        </c:dLbls>
        <c:gapWidth val="150"/>
        <c:overlap val="-20"/>
        <c:axId val="452652488"/>
        <c:axId val="452652096"/>
      </c:barChart>
      <c:catAx>
        <c:axId val="452652488"/>
        <c:scaling>
          <c:orientation val="minMax"/>
        </c:scaling>
        <c:delete val="0"/>
        <c:axPos val="b"/>
        <c:majorTickMark val="none"/>
        <c:minorTickMark val="none"/>
        <c:tickLblPos val="none"/>
        <c:spPr>
          <a:ln w="3175">
            <a:solidFill>
              <a:srgbClr val="000000"/>
            </a:solidFill>
            <a:prstDash val="solid"/>
          </a:ln>
        </c:spPr>
        <c:crossAx val="452652096"/>
        <c:crosses val="autoZero"/>
        <c:auto val="0"/>
        <c:lblAlgn val="ctr"/>
        <c:lblOffset val="100"/>
        <c:tickMarkSkip val="1"/>
        <c:noMultiLvlLbl val="0"/>
      </c:catAx>
      <c:valAx>
        <c:axId val="452652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PE"/>
          </a:p>
        </c:txPr>
        <c:crossAx val="452652488"/>
        <c:crosses val="autoZero"/>
        <c:crossBetween val="between"/>
      </c:valAx>
      <c:spPr>
        <a:noFill/>
        <a:ln w="25400">
          <a:noFill/>
        </a:ln>
      </c:spPr>
    </c:plotArea>
    <c:legend>
      <c:legendPos val="r"/>
      <c:layout>
        <c:manualLayout>
          <c:xMode val="edge"/>
          <c:yMode val="edge"/>
          <c:x val="9.6997690531177835E-2"/>
          <c:y val="0.83505154639175261"/>
          <c:w val="0.87990859110278652"/>
          <c:h val="8.2474226804123751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s-P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PE"/>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68518518518517"/>
          <c:y val="5.6000000000000001E-2"/>
          <c:w val="0.54398148148148151"/>
          <c:h val="0.56000000000000005"/>
        </c:manualLayout>
      </c:layout>
      <c:barChart>
        <c:barDir val="bar"/>
        <c:grouping val="percentStacked"/>
        <c:varyColors val="0"/>
        <c:ser>
          <c:idx val="0"/>
          <c:order val="0"/>
          <c:tx>
            <c:v>Cumplidas</c:v>
          </c:tx>
          <c:spPr>
            <a:solidFill>
              <a:srgbClr val="99CC00"/>
            </a:solidFill>
            <a:ln w="12700">
              <a:noFill/>
              <a:prstDash val="solid"/>
            </a:ln>
            <a:effectLst>
              <a:outerShdw blurRad="50800" dist="38100" dir="2700000" algn="tl" rotWithShape="0">
                <a:prstClr val="black">
                  <a:alpha val="40000"/>
                </a:prstClr>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datos'!$B$72:$B$73</c:f>
              <c:strCache>
                <c:ptCount val="2"/>
                <c:pt idx="0">
                  <c:v> Condiciones precedentes </c:v>
                </c:pt>
                <c:pt idx="1">
                  <c:v> Acciones con fecha límite </c:v>
                </c:pt>
              </c:strCache>
            </c:strRef>
          </c:cat>
          <c:val>
            <c:numRef>
              <c:f>'Introducción de datos'!$D$72:$D$73</c:f>
              <c:numCache>
                <c:formatCode>0</c:formatCode>
                <c:ptCount val="2"/>
                <c:pt idx="0">
                  <c:v>5</c:v>
                </c:pt>
              </c:numCache>
            </c:numRef>
          </c:val>
          <c:extLst>
            <c:ext xmlns:c16="http://schemas.microsoft.com/office/drawing/2014/chart" uri="{C3380CC4-5D6E-409C-BE32-E72D297353CC}">
              <c16:uniqueId val="{00000000-7615-4E48-84E5-B70B01DEB4A6}"/>
            </c:ext>
          </c:extLst>
        </c:ser>
        <c:ser>
          <c:idx val="1"/>
          <c:order val="1"/>
          <c:tx>
            <c:v>No cumplidas, aunque dentro de plazo</c:v>
          </c:tx>
          <c:spPr>
            <a:solidFill>
              <a:srgbClr val="FFFF99"/>
            </a:solidFill>
            <a:ln w="12700">
              <a:noFill/>
              <a:prstDash val="solid"/>
            </a:ln>
            <a:effectLst>
              <a:outerShdw blurRad="50800" dist="38100" dir="2700000" algn="tl" rotWithShape="0">
                <a:prstClr val="black">
                  <a:alpha val="40000"/>
                </a:prstClr>
              </a:outerShdw>
            </a:effectLst>
          </c:spPr>
          <c:invertIfNegative val="0"/>
          <c:dLbls>
            <c:spPr>
              <a:noFill/>
              <a:ln w="25400">
                <a:noFill/>
              </a:ln>
            </c:spPr>
            <c:txPr>
              <a:bodyPr/>
              <a:lstStyle/>
              <a:p>
                <a:pPr>
                  <a:defRPr sz="8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datos'!$B$72:$B$73</c:f>
              <c:strCache>
                <c:ptCount val="2"/>
                <c:pt idx="0">
                  <c:v> Condiciones precedentes </c:v>
                </c:pt>
                <c:pt idx="1">
                  <c:v> Acciones con fecha límite </c:v>
                </c:pt>
              </c:strCache>
            </c:strRef>
          </c:cat>
          <c:val>
            <c:numRef>
              <c:f>'Introducción de datos'!$E$72:$E$73</c:f>
              <c:numCache>
                <c:formatCode>0</c:formatCode>
                <c:ptCount val="2"/>
                <c:pt idx="0">
                  <c:v>4</c:v>
                </c:pt>
              </c:numCache>
            </c:numRef>
          </c:val>
          <c:extLst>
            <c:ext xmlns:c16="http://schemas.microsoft.com/office/drawing/2014/chart" uri="{C3380CC4-5D6E-409C-BE32-E72D297353CC}">
              <c16:uniqueId val="{00000001-7615-4E48-84E5-B70B01DEB4A6}"/>
            </c:ext>
          </c:extLst>
        </c:ser>
        <c:ser>
          <c:idx val="2"/>
          <c:order val="2"/>
          <c:tx>
            <c:v>No cumplidas y con el plazo vencido</c:v>
          </c:tx>
          <c:spPr>
            <a:solidFill>
              <a:srgbClr val="FF5050"/>
            </a:solidFill>
            <a:ln w="12700">
              <a:noFill/>
              <a:prstDash val="solid"/>
            </a:ln>
            <a:effectLst>
              <a:outerShdw blurRad="50800" dist="38100" dir="2700000" algn="tl" rotWithShape="0">
                <a:prstClr val="black">
                  <a:alpha val="40000"/>
                </a:prstClr>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datos'!$B$72:$B$73</c:f>
              <c:strCache>
                <c:ptCount val="2"/>
                <c:pt idx="0">
                  <c:v> Condiciones precedentes </c:v>
                </c:pt>
                <c:pt idx="1">
                  <c:v> Acciones con fecha límite </c:v>
                </c:pt>
              </c:strCache>
            </c:strRef>
          </c:cat>
          <c:val>
            <c:numRef>
              <c:f>'Introducción de datos'!$F$72:$F$73</c:f>
              <c:numCache>
                <c:formatCode>0</c:formatCode>
                <c:ptCount val="2"/>
                <c:pt idx="0">
                  <c:v>0</c:v>
                </c:pt>
              </c:numCache>
            </c:numRef>
          </c:val>
          <c:extLst>
            <c:ext xmlns:c16="http://schemas.microsoft.com/office/drawing/2014/chart" uri="{C3380CC4-5D6E-409C-BE32-E72D297353CC}">
              <c16:uniqueId val="{00000002-7615-4E48-84E5-B70B01DEB4A6}"/>
            </c:ext>
          </c:extLst>
        </c:ser>
        <c:dLbls>
          <c:showLegendKey val="0"/>
          <c:showVal val="0"/>
          <c:showCatName val="0"/>
          <c:showSerName val="0"/>
          <c:showPercent val="0"/>
          <c:showBubbleSize val="0"/>
        </c:dLbls>
        <c:gapWidth val="70"/>
        <c:overlap val="100"/>
        <c:axId val="452650136"/>
        <c:axId val="452655232"/>
      </c:barChart>
      <c:catAx>
        <c:axId val="45265013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PE"/>
          </a:p>
        </c:txPr>
        <c:crossAx val="452655232"/>
        <c:crosses val="autoZero"/>
        <c:auto val="1"/>
        <c:lblAlgn val="ctr"/>
        <c:lblOffset val="100"/>
        <c:tickLblSkip val="1"/>
        <c:tickMarkSkip val="1"/>
        <c:noMultiLvlLbl val="0"/>
      </c:catAx>
      <c:valAx>
        <c:axId val="452655232"/>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PE"/>
          </a:p>
        </c:txPr>
        <c:crossAx val="452650136"/>
        <c:crosses val="autoZero"/>
        <c:crossBetween val="between"/>
      </c:valAx>
      <c:spPr>
        <a:noFill/>
        <a:ln w="25400">
          <a:noFill/>
        </a:ln>
      </c:spPr>
    </c:plotArea>
    <c:legend>
      <c:legendPos val="r"/>
      <c:layout>
        <c:manualLayout>
          <c:xMode val="edge"/>
          <c:yMode val="edge"/>
          <c:wMode val="edge"/>
          <c:hMode val="edge"/>
          <c:x val="1.0460251046025104E-2"/>
          <c:y val="0.82119483408944738"/>
          <c:w val="0.96652807520398853"/>
          <c:h val="0.96689089360518676"/>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s-PE"/>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s-PE"/>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47619047619047"/>
          <c:y val="0.12041884816753927"/>
          <c:w val="0.62554112554112551"/>
          <c:h val="0.54973821989528793"/>
        </c:manualLayout>
      </c:layout>
      <c:barChart>
        <c:barDir val="bar"/>
        <c:grouping val="percentStacked"/>
        <c:varyColors val="0"/>
        <c:ser>
          <c:idx val="0"/>
          <c:order val="0"/>
          <c:tx>
            <c:strRef>
              <c:f>'Introducción de datos'!$D$88</c:f>
              <c:strCache>
                <c:ptCount val="1"/>
                <c:pt idx="0">
                  <c:v> Recibidos </c:v>
                </c:pt>
              </c:strCache>
            </c:strRef>
          </c:tx>
          <c:spPr>
            <a:solidFill>
              <a:srgbClr val="99CC00"/>
            </a:solidFill>
            <a:ln>
              <a:noFill/>
            </a:ln>
            <a:effectLst>
              <a:outerShdw blurRad="50800" dist="38100" dir="2700000" algn="tl" rotWithShape="0">
                <a:prstClr val="black">
                  <a:alpha val="40000"/>
                </a:prstClr>
              </a:outerShdw>
            </a:effectLst>
          </c:spPr>
          <c:invertIfNegative val="0"/>
          <c:dLbls>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datos'!$B$89:$B$90</c:f>
              <c:strCache>
                <c:ptCount val="2"/>
                <c:pt idx="0">
                  <c:v> Sub SR al SR </c:v>
                </c:pt>
                <c:pt idx="1">
                  <c:v> SR al RP </c:v>
                </c:pt>
              </c:strCache>
            </c:strRef>
          </c:cat>
          <c:val>
            <c:numRef>
              <c:f>'Introducción de datos'!$D$89:$D$90</c:f>
              <c:numCache>
                <c:formatCode>0</c:formatCode>
                <c:ptCount val="2"/>
                <c:pt idx="0">
                  <c:v>0</c:v>
                </c:pt>
                <c:pt idx="1">
                  <c:v>0</c:v>
                </c:pt>
              </c:numCache>
            </c:numRef>
          </c:val>
          <c:extLst>
            <c:ext xmlns:c16="http://schemas.microsoft.com/office/drawing/2014/chart" uri="{C3380CC4-5D6E-409C-BE32-E72D297353CC}">
              <c16:uniqueId val="{00000000-7B56-425C-BAFD-EBEA722C7FC3}"/>
            </c:ext>
          </c:extLst>
        </c:ser>
        <c:ser>
          <c:idx val="1"/>
          <c:order val="1"/>
          <c:tx>
            <c:strRef>
              <c:f>'Introducción de datos'!$E$88</c:f>
              <c:strCache>
                <c:ptCount val="1"/>
                <c:pt idx="0">
                  <c:v> Pendientes </c:v>
                </c:pt>
              </c:strCache>
            </c:strRef>
          </c:tx>
          <c:spPr>
            <a:solidFill>
              <a:srgbClr val="FF5050"/>
            </a:solidFill>
            <a:effectLst>
              <a:outerShdw blurRad="50800" dist="38100" dir="2700000" algn="tl" rotWithShape="0">
                <a:prstClr val="black">
                  <a:alpha val="40000"/>
                </a:prstClr>
              </a:outerShdw>
            </a:effectLst>
          </c:spPr>
          <c:invertIfNegative val="0"/>
          <c:dLbls>
            <c:dLbl>
              <c:idx val="0"/>
              <c:spPr>
                <a:noFill/>
                <a:ln w="25400">
                  <a:noFill/>
                </a:ln>
              </c:spPr>
              <c:txPr>
                <a:bodyPr/>
                <a:lstStyle/>
                <a:p>
                  <a:pPr>
                    <a:defRPr sz="11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6="http://schemas.microsoft.com/office/drawing/2014/chart" uri="{C3380CC4-5D6E-409C-BE32-E72D297353CC}">
                  <c16:uniqueId val="{00000000-36A5-4E57-856F-2D07DAD7286B}"/>
                </c:ext>
              </c:extLst>
            </c:dLbl>
            <c:dLbl>
              <c:idx val="1"/>
              <c:spPr>
                <a:noFill/>
                <a:ln w="25400">
                  <a:noFill/>
                </a:ln>
              </c:spPr>
              <c:txPr>
                <a:bodyPr/>
                <a:lstStyle/>
                <a:p>
                  <a:pPr>
                    <a:defRPr sz="11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6="http://schemas.microsoft.com/office/drawing/2014/chart" uri="{C3380CC4-5D6E-409C-BE32-E72D297353CC}">
                  <c16:uniqueId val="{00000001-36A5-4E57-856F-2D07DAD7286B}"/>
                </c:ext>
              </c:extLst>
            </c:dLbl>
            <c:spPr>
              <a:noFill/>
              <a:ln w="25400">
                <a:noFill/>
              </a:ln>
            </c:spPr>
            <c:txPr>
              <a:bodyPr/>
              <a:lstStyle/>
              <a:p>
                <a:pPr>
                  <a:defRPr sz="1100" b="1">
                    <a:solidFill>
                      <a:schemeClr val="bg1"/>
                    </a:solidFil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datos'!$B$89:$B$90</c:f>
              <c:strCache>
                <c:ptCount val="2"/>
                <c:pt idx="0">
                  <c:v> Sub SR al SR </c:v>
                </c:pt>
                <c:pt idx="1">
                  <c:v> SR al RP </c:v>
                </c:pt>
              </c:strCache>
            </c:strRef>
          </c:cat>
          <c:val>
            <c:numRef>
              <c:f>'Introducción de datos'!$E$89:$E$90</c:f>
              <c:numCache>
                <c:formatCode>0</c:formatCode>
                <c:ptCount val="2"/>
                <c:pt idx="0">
                  <c:v>0</c:v>
                </c:pt>
                <c:pt idx="1">
                  <c:v>0</c:v>
                </c:pt>
              </c:numCache>
            </c:numRef>
          </c:val>
          <c:extLst>
            <c:ext xmlns:c16="http://schemas.microsoft.com/office/drawing/2014/chart" uri="{C3380CC4-5D6E-409C-BE32-E72D297353CC}">
              <c16:uniqueId val="{00000003-7B56-425C-BAFD-EBEA722C7FC3}"/>
            </c:ext>
          </c:extLst>
        </c:ser>
        <c:dLbls>
          <c:showLegendKey val="0"/>
          <c:showVal val="0"/>
          <c:showCatName val="0"/>
          <c:showSerName val="0"/>
          <c:showPercent val="0"/>
          <c:showBubbleSize val="0"/>
        </c:dLbls>
        <c:gapWidth val="79"/>
        <c:overlap val="100"/>
        <c:axId val="452653664"/>
        <c:axId val="452654056"/>
      </c:barChart>
      <c:catAx>
        <c:axId val="452653664"/>
        <c:scaling>
          <c:orientation val="minMax"/>
        </c:scaling>
        <c:delete val="0"/>
        <c:axPos val="l"/>
        <c:numFmt formatCode="General" sourceLinked="1"/>
        <c:majorTickMark val="out"/>
        <c:minorTickMark val="none"/>
        <c:tickLblPos val="nextTo"/>
        <c:txPr>
          <a:bodyPr rot="0" vert="horz"/>
          <a:lstStyle/>
          <a:p>
            <a:pPr>
              <a:defRPr/>
            </a:pPr>
            <a:endParaRPr lang="es-PE"/>
          </a:p>
        </c:txPr>
        <c:crossAx val="452654056"/>
        <c:crosses val="autoZero"/>
        <c:auto val="1"/>
        <c:lblAlgn val="ctr"/>
        <c:lblOffset val="100"/>
        <c:noMultiLvlLbl val="0"/>
      </c:catAx>
      <c:valAx>
        <c:axId val="452654056"/>
        <c:scaling>
          <c:orientation val="minMax"/>
        </c:scaling>
        <c:delete val="0"/>
        <c:axPos val="t"/>
        <c:majorGridlines/>
        <c:numFmt formatCode="0%" sourceLinked="1"/>
        <c:majorTickMark val="out"/>
        <c:minorTickMark val="none"/>
        <c:tickLblPos val="low"/>
        <c:txPr>
          <a:bodyPr rot="0" vert="horz"/>
          <a:lstStyle/>
          <a:p>
            <a:pPr>
              <a:defRPr/>
            </a:pPr>
            <a:endParaRPr lang="es-PE"/>
          </a:p>
        </c:txPr>
        <c:crossAx val="452653664"/>
        <c:crosses val="max"/>
        <c:crossBetween val="between"/>
      </c:valAx>
    </c:plotArea>
    <c:legend>
      <c:legendPos val="r"/>
      <c:layout>
        <c:manualLayout>
          <c:xMode val="edge"/>
          <c:yMode val="edge"/>
          <c:x val="0.37037099567729637"/>
          <c:y val="0.86154276869237501"/>
          <c:w val="0.31666720033378459"/>
          <c:h val="0.11282105121475194"/>
        </c:manualLayout>
      </c:layout>
      <c:overlay val="0"/>
    </c:legend>
    <c:plotVisOnly val="1"/>
    <c:dispBlanksAs val="gap"/>
    <c:showDLblsOverMax val="0"/>
  </c:chart>
  <c:spPr>
    <a:ln>
      <a:noFill/>
    </a:ln>
  </c:sp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07934811415598"/>
          <c:y val="0.12578712923736945"/>
          <c:w val="0.8636182206598233"/>
          <c:h val="0.49685916048760936"/>
        </c:manualLayout>
      </c:layout>
      <c:lineChart>
        <c:grouping val="standard"/>
        <c:varyColors val="0"/>
        <c:ser>
          <c:idx val="0"/>
          <c:order val="0"/>
          <c:tx>
            <c:v>Presupuesto aprobado</c:v>
          </c:tx>
          <c:spPr>
            <a:ln w="25400">
              <a:solidFill>
                <a:srgbClr val="000080"/>
              </a:solidFill>
              <a:prstDash val="solid"/>
            </a:ln>
          </c:spPr>
          <c:marker>
            <c:symbol val="diamond"/>
            <c:size val="7"/>
            <c:spPr>
              <a:solidFill>
                <a:srgbClr val="000080"/>
              </a:solidFill>
              <a:ln>
                <a:solidFill>
                  <a:srgbClr val="000080"/>
                </a:solidFill>
                <a:prstDash val="solid"/>
              </a:ln>
            </c:spPr>
          </c:marker>
          <c:val>
            <c:numRef>
              <c:f>'Introducción de datos'!$C$98:$N$98</c:f>
              <c:numCache>
                <c:formatCode>#,##0</c:formatCode>
                <c:ptCount val="12"/>
                <c:pt idx="0">
                  <c:v>0</c:v>
                </c:pt>
                <c:pt idx="1">
                  <c:v>69565</c:v>
                </c:pt>
                <c:pt idx="2">
                  <c:v>389170.86</c:v>
                </c:pt>
                <c:pt idx="3">
                  <c:v>389170.86</c:v>
                </c:pt>
                <c:pt idx="4">
                  <c:v>389170.86</c:v>
                </c:pt>
                <c:pt idx="5">
                  <c:v>513535.61</c:v>
                </c:pt>
                <c:pt idx="6">
                  <c:v>513535.61</c:v>
                </c:pt>
                <c:pt idx="7">
                  <c:v>513535.61</c:v>
                </c:pt>
                <c:pt idx="8">
                  <c:v>513535.61</c:v>
                </c:pt>
                <c:pt idx="9">
                  <c:v>513535.61</c:v>
                </c:pt>
                <c:pt idx="10">
                  <c:v>513535.61</c:v>
                </c:pt>
                <c:pt idx="11">
                  <c:v>513535.61</c:v>
                </c:pt>
              </c:numCache>
            </c:numRef>
          </c:val>
          <c:smooth val="0"/>
          <c:extLst>
            <c:ext xmlns:c16="http://schemas.microsoft.com/office/drawing/2014/chart" uri="{C3380CC4-5D6E-409C-BE32-E72D297353CC}">
              <c16:uniqueId val="{00000000-B5CF-492A-BE70-040375F37CA8}"/>
            </c:ext>
          </c:extLst>
        </c:ser>
        <c:ser>
          <c:idx val="1"/>
          <c:order val="1"/>
          <c:tx>
            <c:v>Obligaciones acumuladas</c:v>
          </c:tx>
          <c:spPr>
            <a:ln w="12700">
              <a:solidFill>
                <a:srgbClr val="3366FF"/>
              </a:solidFill>
              <a:prstDash val="solid"/>
            </a:ln>
          </c:spPr>
          <c:marker>
            <c:symbol val="square"/>
            <c:size val="5"/>
            <c:spPr>
              <a:solidFill>
                <a:srgbClr val="99CCFF"/>
              </a:solidFill>
              <a:ln>
                <a:solidFill>
                  <a:srgbClr val="000080"/>
                </a:solidFill>
                <a:prstDash val="solid"/>
              </a:ln>
            </c:spPr>
          </c:marker>
          <c:val>
            <c:numRef>
              <c:f>'Introducción de datos'!$C$99:$N$99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5CF-492A-BE70-040375F37CA8}"/>
            </c:ext>
          </c:extLst>
        </c:ser>
        <c:ser>
          <c:idx val="2"/>
          <c:order val="2"/>
          <c:tx>
            <c:v>Gastos acumulados </c:v>
          </c:tx>
          <c:spPr>
            <a:ln w="25400">
              <a:solidFill>
                <a:srgbClr val="FFCC99"/>
              </a:solidFill>
              <a:prstDash val="solid"/>
            </a:ln>
          </c:spPr>
          <c:marker>
            <c:symbol val="triangle"/>
            <c:size val="5"/>
            <c:spPr>
              <a:solidFill>
                <a:srgbClr val="FFCC99"/>
              </a:solidFill>
              <a:ln>
                <a:solidFill>
                  <a:srgbClr val="FF6600"/>
                </a:solidFill>
                <a:prstDash val="solid"/>
              </a:ln>
            </c:spPr>
          </c:marker>
          <c:val>
            <c:numRef>
              <c:f>'Introducción de datos'!$C$100:$N$100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5CF-492A-BE70-040375F37CA8}"/>
            </c:ext>
          </c:extLst>
        </c:ser>
        <c:dLbls>
          <c:showLegendKey val="0"/>
          <c:showVal val="0"/>
          <c:showCatName val="0"/>
          <c:showSerName val="0"/>
          <c:showPercent val="0"/>
          <c:showBubbleSize val="0"/>
        </c:dLbls>
        <c:marker val="1"/>
        <c:smooth val="0"/>
        <c:axId val="452654840"/>
        <c:axId val="452648568"/>
      </c:lineChart>
      <c:catAx>
        <c:axId val="452654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s-PE"/>
          </a:p>
        </c:txPr>
        <c:crossAx val="452648568"/>
        <c:crosses val="autoZero"/>
        <c:auto val="1"/>
        <c:lblAlgn val="ctr"/>
        <c:lblOffset val="100"/>
        <c:tickLblSkip val="1"/>
        <c:tickMarkSkip val="1"/>
        <c:noMultiLvlLbl val="0"/>
      </c:catAx>
      <c:valAx>
        <c:axId val="45264856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s-PE"/>
          </a:p>
        </c:txPr>
        <c:crossAx val="452654840"/>
        <c:crosses val="autoZero"/>
        <c:crossBetween val="between"/>
      </c:valAx>
      <c:spPr>
        <a:solidFill>
          <a:srgbClr val="FFFFFF"/>
        </a:solidFill>
        <a:ln w="12700">
          <a:solidFill>
            <a:srgbClr val="808080"/>
          </a:solidFill>
          <a:prstDash val="solid"/>
        </a:ln>
      </c:spPr>
    </c:plotArea>
    <c:legend>
      <c:legendPos val="r"/>
      <c:layout>
        <c:manualLayout>
          <c:xMode val="edge"/>
          <c:yMode val="edge"/>
          <c:x val="8.9715536105032828E-2"/>
          <c:y val="0.72932330827067671"/>
          <c:w val="0.85995715524618499"/>
          <c:h val="0.18796992481203012"/>
        </c:manualLayout>
      </c:layout>
      <c:overlay val="0"/>
      <c:spPr>
        <a:noFill/>
        <a:ln w="25400">
          <a:noFill/>
        </a:ln>
      </c:spPr>
      <c:txPr>
        <a:bodyPr/>
        <a:lstStyle/>
        <a:p>
          <a:pPr>
            <a:defRPr sz="700" b="0" i="0" u="none" strike="noStrike" baseline="0">
              <a:solidFill>
                <a:srgbClr val="000000"/>
              </a:solidFill>
              <a:latin typeface="Arial"/>
              <a:ea typeface="Arial"/>
              <a:cs typeface="Arial"/>
            </a:defRPr>
          </a:pPr>
          <a:endParaRPr lang="es-P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PE"/>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489E-2"/>
          <c:w val="0.8331400431932956"/>
          <c:h val="0.65320736566206339"/>
        </c:manualLayout>
      </c:layout>
      <c:barChart>
        <c:barDir val="col"/>
        <c:grouping val="clustered"/>
        <c:varyColors val="0"/>
        <c:ser>
          <c:idx val="0"/>
          <c:order val="0"/>
          <c:tx>
            <c:v>Meta</c:v>
          </c:tx>
          <c:spPr>
            <a:solidFill>
              <a:srgbClr val="0066CC"/>
            </a:solidFill>
            <a:ln w="25400">
              <a:noFill/>
            </a:ln>
          </c:spPr>
          <c:invertIfNegative val="0"/>
          <c:cat>
            <c:strRef>
              <c:f>'Introducción de datos'!$H$116:$S$116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datos'!$H$120:$S$120</c:f>
              <c:numCache>
                <c:formatCode>#,##0</c:formatCode>
                <c:ptCount val="12"/>
                <c:pt idx="1">
                  <c:v>6907</c:v>
                </c:pt>
                <c:pt idx="5">
                  <c:v>8979</c:v>
                </c:pt>
              </c:numCache>
            </c:numRef>
          </c:val>
          <c:extLst>
            <c:ext xmlns:c16="http://schemas.microsoft.com/office/drawing/2014/chart" uri="{C3380CC4-5D6E-409C-BE32-E72D297353CC}">
              <c16:uniqueId val="{00000000-5678-4EB2-98DA-025260ACD1B4}"/>
            </c:ext>
          </c:extLst>
        </c:ser>
        <c:ser>
          <c:idx val="1"/>
          <c:order val="1"/>
          <c:tx>
            <c:v>Logro</c:v>
          </c:tx>
          <c:spPr>
            <a:solidFill>
              <a:srgbClr val="00CCFF"/>
            </a:solidFill>
            <a:ln w="12700">
              <a:solidFill>
                <a:srgbClr val="000000"/>
              </a:solidFill>
              <a:prstDash val="solid"/>
            </a:ln>
          </c:spPr>
          <c:invertIfNegative val="0"/>
          <c:cat>
            <c:strRef>
              <c:f>'Introducción de datos'!$H$116:$S$116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datos'!$H$121:$S$121</c:f>
              <c:numCache>
                <c:formatCode>#,##0</c:formatCode>
                <c:ptCount val="12"/>
                <c:pt idx="1">
                  <c:v>1422</c:v>
                </c:pt>
                <c:pt idx="3">
                  <c:v>938</c:v>
                </c:pt>
              </c:numCache>
            </c:numRef>
          </c:val>
          <c:extLst>
            <c:ext xmlns:c16="http://schemas.microsoft.com/office/drawing/2014/chart" uri="{C3380CC4-5D6E-409C-BE32-E72D297353CC}">
              <c16:uniqueId val="{00000001-5678-4EB2-98DA-025260ACD1B4}"/>
            </c:ext>
          </c:extLst>
        </c:ser>
        <c:dLbls>
          <c:showLegendKey val="0"/>
          <c:showVal val="0"/>
          <c:showCatName val="0"/>
          <c:showSerName val="0"/>
          <c:showPercent val="0"/>
          <c:showBubbleSize val="0"/>
        </c:dLbls>
        <c:gapWidth val="150"/>
        <c:axId val="452655624"/>
        <c:axId val="452648960"/>
      </c:barChart>
      <c:catAx>
        <c:axId val="452655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PE"/>
          </a:p>
        </c:txPr>
        <c:crossAx val="452648960"/>
        <c:crosses val="autoZero"/>
        <c:auto val="1"/>
        <c:lblAlgn val="ctr"/>
        <c:lblOffset val="100"/>
        <c:tickLblSkip val="1"/>
        <c:tickMarkSkip val="1"/>
        <c:noMultiLvlLbl val="0"/>
      </c:catAx>
      <c:valAx>
        <c:axId val="45264896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PE"/>
          </a:p>
        </c:txPr>
        <c:crossAx val="452655624"/>
        <c:crosses val="autoZero"/>
        <c:crossBetween val="between"/>
      </c:valAx>
      <c:spPr>
        <a:noFill/>
        <a:ln w="25400">
          <a:noFill/>
        </a:ln>
      </c:spPr>
    </c:plotArea>
    <c:legend>
      <c:legendPos val="r"/>
      <c:layout>
        <c:manualLayout>
          <c:xMode val="edge"/>
          <c:yMode val="edge"/>
          <c:x val="0.19536429233474528"/>
          <c:y val="0.91146322094353593"/>
          <c:w val="0.54304652512495344"/>
          <c:h val="7.2916885389326391E-2"/>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s-P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s-PE"/>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Informaci&#243;n de la subvenci&#243;n'!A1"/><Relationship Id="rId13" Type="http://schemas.openxmlformats.org/officeDocument/2006/relationships/image" Target="../media/image5.png"/><Relationship Id="rId3" Type="http://schemas.openxmlformats.org/officeDocument/2006/relationships/hyperlink" Target="#Financiamiento!A1"/><Relationship Id="rId7" Type="http://schemas.openxmlformats.org/officeDocument/2006/relationships/hyperlink" Target="#Accione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endaciones!A1"/><Relationship Id="rId11" Type="http://schemas.openxmlformats.org/officeDocument/2006/relationships/image" Target="../media/image3.png"/><Relationship Id="rId5" Type="http://schemas.openxmlformats.org/officeDocument/2006/relationships/hyperlink" Target="#Gesti&#243;n!A1"/><Relationship Id="rId10" Type="http://schemas.openxmlformats.org/officeDocument/2006/relationships/hyperlink" Target="#'Introducci&#243;n de datos'!A1"/><Relationship Id="rId4" Type="http://schemas.openxmlformats.org/officeDocument/2006/relationships/hyperlink" Target="#Programatico!A1"/><Relationship Id="rId9" Type="http://schemas.openxmlformats.org/officeDocument/2006/relationships/hyperlink" Target="#'Lista de indicadores'!A1"/></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250;!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250;!A1"/></Relationships>
</file>

<file path=xl/drawings/_rels/drawing9.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180975</xdr:rowOff>
    </xdr:from>
    <xdr:to>
      <xdr:col>11</xdr:col>
      <xdr:colOff>666750</xdr:colOff>
      <xdr:row>19</xdr:row>
      <xdr:rowOff>133350</xdr:rowOff>
    </xdr:to>
    <xdr:pic>
      <xdr:nvPicPr>
        <xdr:cNvPr id="4561569" name="Picture 2">
          <a:extLst>
            <a:ext uri="{FF2B5EF4-FFF2-40B4-BE49-F238E27FC236}">
              <a16:creationId xmlns:a16="http://schemas.microsoft.com/office/drawing/2014/main" id="{58F2EF48-1F35-4B75-8AA5-D5B0888866F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47625" y="1419225"/>
          <a:ext cx="7610475"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866775</xdr:colOff>
      <xdr:row>7</xdr:row>
      <xdr:rowOff>57150</xdr:rowOff>
    </xdr:from>
    <xdr:to>
      <xdr:col>11</xdr:col>
      <xdr:colOff>552450</xdr:colOff>
      <xdr:row>18</xdr:row>
      <xdr:rowOff>180975</xdr:rowOff>
    </xdr:to>
    <xdr:pic>
      <xdr:nvPicPr>
        <xdr:cNvPr id="4561570" name="Picture 824">
          <a:extLst>
            <a:ext uri="{FF2B5EF4-FFF2-40B4-BE49-F238E27FC236}">
              <a16:creationId xmlns:a16="http://schemas.microsoft.com/office/drawing/2014/main" id="{D0AD9250-476F-4563-9FE7-4E47FDE089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10200" y="1866900"/>
          <a:ext cx="2190750"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323850</xdr:colOff>
      <xdr:row>7</xdr:row>
      <xdr:rowOff>133350</xdr:rowOff>
    </xdr:from>
    <xdr:to>
      <xdr:col>7</xdr:col>
      <xdr:colOff>695325</xdr:colOff>
      <xdr:row>18</xdr:row>
      <xdr:rowOff>95250</xdr:rowOff>
    </xdr:to>
    <xdr:sp macro="" textlink="">
      <xdr:nvSpPr>
        <xdr:cNvPr id="4561571" name="AutoShape 27">
          <a:extLst>
            <a:ext uri="{FF2B5EF4-FFF2-40B4-BE49-F238E27FC236}">
              <a16:creationId xmlns:a16="http://schemas.microsoft.com/office/drawing/2014/main" id="{95FB6F4C-FA74-498A-8C61-B56C7D2D5AEB}"/>
            </a:ext>
          </a:extLst>
        </xdr:cNvPr>
        <xdr:cNvSpPr>
          <a:spLocks noChangeArrowheads="1"/>
        </xdr:cNvSpPr>
      </xdr:nvSpPr>
      <xdr:spPr bwMode="gray">
        <a:xfrm>
          <a:off x="2686050" y="1943100"/>
          <a:ext cx="2657475" cy="20574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371475</xdr:colOff>
      <xdr:row>10</xdr:row>
      <xdr:rowOff>57150</xdr:rowOff>
    </xdr:from>
    <xdr:to>
      <xdr:col>6</xdr:col>
      <xdr:colOff>742950</xdr:colOff>
      <xdr:row>12</xdr:row>
      <xdr:rowOff>47625</xdr:rowOff>
    </xdr:to>
    <xdr:sp macro="" textlink="">
      <xdr:nvSpPr>
        <xdr:cNvPr id="4561572" name="AutoShape 26">
          <a:extLst>
            <a:ext uri="{FF2B5EF4-FFF2-40B4-BE49-F238E27FC236}">
              <a16:creationId xmlns:a16="http://schemas.microsoft.com/office/drawing/2014/main" id="{9C4399D6-FEBB-4148-B382-928FF242E0D1}"/>
            </a:ext>
          </a:extLst>
        </xdr:cNvPr>
        <xdr:cNvSpPr>
          <a:spLocks noChangeArrowheads="1"/>
        </xdr:cNvSpPr>
      </xdr:nvSpPr>
      <xdr:spPr bwMode="gray">
        <a:xfrm>
          <a:off x="3495675" y="2438400"/>
          <a:ext cx="1133475" cy="371475"/>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clientData/>
  </xdr:twoCellAnchor>
  <xdr:twoCellAnchor>
    <xdr:from>
      <xdr:col>5</xdr:col>
      <xdr:colOff>373380</xdr:colOff>
      <xdr:row>10</xdr:row>
      <xdr:rowOff>116205</xdr:rowOff>
    </xdr:from>
    <xdr:to>
      <xdr:col>6</xdr:col>
      <xdr:colOff>723639</xdr:colOff>
      <xdr:row>12</xdr:row>
      <xdr:rowOff>5266</xdr:rowOff>
    </xdr:to>
    <xdr:sp macro="" textlink="">
      <xdr:nvSpPr>
        <xdr:cNvPr id="1869396" name="AutoShape 27">
          <a:hlinkClick xmlns:r="http://schemas.openxmlformats.org/officeDocument/2006/relationships" r:id="rId3"/>
          <a:extLst>
            <a:ext uri="{FF2B5EF4-FFF2-40B4-BE49-F238E27FC236}">
              <a16:creationId xmlns:a16="http://schemas.microsoft.com/office/drawing/2014/main" id="{EAD2CE10-443C-475E-BE48-FE72BA516343}"/>
            </a:ext>
          </a:extLst>
        </xdr:cNvPr>
        <xdr:cNvSpPr>
          <a:spLocks noChangeArrowheads="1"/>
        </xdr:cNvSpPr>
      </xdr:nvSpPr>
      <xdr:spPr bwMode="gray">
        <a:xfrm>
          <a:off x="3426069" y="2459648"/>
          <a:ext cx="1028700" cy="29527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27432" tIns="22860" rIns="27432" bIns="22860" anchor="ctr" upright="1"/>
        <a:lstStyle/>
        <a:p>
          <a:pPr algn="ctr" rtl="0">
            <a:defRPr sz="1000"/>
          </a:pPr>
          <a:r>
            <a:rPr lang="en-US" sz="1000" b="0" i="0" u="none" strike="noStrike" baseline="0">
              <a:solidFill>
                <a:srgbClr val="FFFFFF"/>
              </a:solidFill>
              <a:latin typeface="Arial"/>
              <a:cs typeface="Arial"/>
            </a:rPr>
            <a:t>Financieros</a:t>
          </a:r>
        </a:p>
      </xdr:txBody>
    </xdr:sp>
    <xdr:clientData/>
  </xdr:twoCellAnchor>
  <xdr:twoCellAnchor>
    <xdr:from>
      <xdr:col>5</xdr:col>
      <xdr:colOff>390525</xdr:colOff>
      <xdr:row>10</xdr:row>
      <xdr:rowOff>144780</xdr:rowOff>
    </xdr:from>
    <xdr:to>
      <xdr:col>5</xdr:col>
      <xdr:colOff>521494</xdr:colOff>
      <xdr:row>11</xdr:row>
      <xdr:rowOff>78231</xdr:rowOff>
    </xdr:to>
    <xdr:sp macro="" textlink="">
      <xdr:nvSpPr>
        <xdr:cNvPr id="1869397" name="Freeform 28">
          <a:extLst>
            <a:ext uri="{FF2B5EF4-FFF2-40B4-BE49-F238E27FC236}">
              <a16:creationId xmlns:a16="http://schemas.microsoft.com/office/drawing/2014/main" id="{D7036C82-0137-4AEB-875E-2F83F7EEC1CD}"/>
            </a:ext>
          </a:extLst>
        </xdr:cNvPr>
        <xdr:cNvSpPr>
          <a:spLocks/>
        </xdr:cNvSpPr>
      </xdr:nvSpPr>
      <xdr:spPr bwMode="gray">
        <a:xfrm>
          <a:off x="3438525" y="2476500"/>
          <a:ext cx="104775" cy="161925"/>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s-PE"/>
        </a:p>
      </xdr:txBody>
    </xdr:sp>
    <xdr:clientData/>
  </xdr:twoCellAnchor>
  <xdr:twoCellAnchor>
    <xdr:from>
      <xdr:col>5</xdr:col>
      <xdr:colOff>381000</xdr:colOff>
      <xdr:row>15</xdr:row>
      <xdr:rowOff>228600</xdr:rowOff>
    </xdr:from>
    <xdr:to>
      <xdr:col>6</xdr:col>
      <xdr:colOff>762000</xdr:colOff>
      <xdr:row>17</xdr:row>
      <xdr:rowOff>200025</xdr:rowOff>
    </xdr:to>
    <xdr:sp macro="" textlink="">
      <xdr:nvSpPr>
        <xdr:cNvPr id="4561575" name="AutoShape 26">
          <a:extLst>
            <a:ext uri="{FF2B5EF4-FFF2-40B4-BE49-F238E27FC236}">
              <a16:creationId xmlns:a16="http://schemas.microsoft.com/office/drawing/2014/main" id="{110407BA-C0AA-4D2C-9E48-65C51B28CDE7}"/>
            </a:ext>
          </a:extLst>
        </xdr:cNvPr>
        <xdr:cNvSpPr>
          <a:spLocks noChangeArrowheads="1"/>
        </xdr:cNvSpPr>
      </xdr:nvSpPr>
      <xdr:spPr bwMode="gray">
        <a:xfrm>
          <a:off x="3505200" y="3524250"/>
          <a:ext cx="1143000" cy="38100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clientData/>
  </xdr:twoCellAnchor>
  <xdr:twoCellAnchor>
    <xdr:from>
      <xdr:col>5</xdr:col>
      <xdr:colOff>410454</xdr:colOff>
      <xdr:row>16</xdr:row>
      <xdr:rowOff>3810</xdr:rowOff>
    </xdr:from>
    <xdr:to>
      <xdr:col>6</xdr:col>
      <xdr:colOff>741801</xdr:colOff>
      <xdr:row>17</xdr:row>
      <xdr:rowOff>166986</xdr:rowOff>
    </xdr:to>
    <xdr:sp macro="" textlink="">
      <xdr:nvSpPr>
        <xdr:cNvPr id="1869393" name="AutoShape 27">
          <a:hlinkClick xmlns:r="http://schemas.openxmlformats.org/officeDocument/2006/relationships" r:id="rId4"/>
          <a:extLst>
            <a:ext uri="{FF2B5EF4-FFF2-40B4-BE49-F238E27FC236}">
              <a16:creationId xmlns:a16="http://schemas.microsoft.com/office/drawing/2014/main" id="{5841D4D8-CED9-4D51-8946-1EEA8A990C90}"/>
            </a:ext>
          </a:extLst>
        </xdr:cNvPr>
        <xdr:cNvSpPr>
          <a:spLocks noChangeArrowheads="1"/>
        </xdr:cNvSpPr>
      </xdr:nvSpPr>
      <xdr:spPr bwMode="gray">
        <a:xfrm>
          <a:off x="3451713" y="3535973"/>
          <a:ext cx="1019175" cy="29527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27432" tIns="22860" rIns="27432" bIns="22860" anchor="ctr" upright="1"/>
        <a:lstStyle/>
        <a:p>
          <a:pPr algn="ctr" rtl="0">
            <a:defRPr sz="1000"/>
          </a:pPr>
          <a:r>
            <a:rPr lang="en-US" sz="1000" b="0" i="0" u="none" strike="noStrike" baseline="0">
              <a:solidFill>
                <a:srgbClr val="FFFFFF"/>
              </a:solidFill>
              <a:latin typeface="Arial"/>
              <a:cs typeface="Arial"/>
            </a:rPr>
            <a:t>Programáticos</a:t>
          </a:r>
        </a:p>
      </xdr:txBody>
    </xdr:sp>
    <xdr:clientData/>
  </xdr:twoCellAnchor>
  <xdr:twoCellAnchor>
    <xdr:from>
      <xdr:col>5</xdr:col>
      <xdr:colOff>445770</xdr:colOff>
      <xdr:row>16</xdr:row>
      <xdr:rowOff>38100</xdr:rowOff>
    </xdr:from>
    <xdr:to>
      <xdr:col>5</xdr:col>
      <xdr:colOff>587688</xdr:colOff>
      <xdr:row>17</xdr:row>
      <xdr:rowOff>0</xdr:rowOff>
    </xdr:to>
    <xdr:sp macro="" textlink="">
      <xdr:nvSpPr>
        <xdr:cNvPr id="1869394" name="Freeform 28">
          <a:extLst>
            <a:ext uri="{FF2B5EF4-FFF2-40B4-BE49-F238E27FC236}">
              <a16:creationId xmlns:a16="http://schemas.microsoft.com/office/drawing/2014/main" id="{70997E9C-109A-4C28-B450-937395B95D4C}"/>
            </a:ext>
          </a:extLst>
        </xdr:cNvPr>
        <xdr:cNvSpPr>
          <a:spLocks/>
        </xdr:cNvSpPr>
      </xdr:nvSpPr>
      <xdr:spPr bwMode="gray">
        <a:xfrm>
          <a:off x="3476625" y="3552825"/>
          <a:ext cx="114300" cy="161925"/>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s-PE"/>
        </a:p>
      </xdr:txBody>
    </xdr:sp>
    <xdr:clientData/>
  </xdr:twoCellAnchor>
  <xdr:twoCellAnchor>
    <xdr:from>
      <xdr:col>5</xdr:col>
      <xdr:colOff>371475</xdr:colOff>
      <xdr:row>13</xdr:row>
      <xdr:rowOff>9525</xdr:rowOff>
    </xdr:from>
    <xdr:to>
      <xdr:col>6</xdr:col>
      <xdr:colOff>742950</xdr:colOff>
      <xdr:row>15</xdr:row>
      <xdr:rowOff>0</xdr:rowOff>
    </xdr:to>
    <xdr:sp macro="" textlink="">
      <xdr:nvSpPr>
        <xdr:cNvPr id="4561578" name="AutoShape 26">
          <a:extLst>
            <a:ext uri="{FF2B5EF4-FFF2-40B4-BE49-F238E27FC236}">
              <a16:creationId xmlns:a16="http://schemas.microsoft.com/office/drawing/2014/main" id="{5ECD445D-C483-415E-B386-EF0AC9813F24}"/>
            </a:ext>
          </a:extLst>
        </xdr:cNvPr>
        <xdr:cNvSpPr>
          <a:spLocks noChangeArrowheads="1"/>
        </xdr:cNvSpPr>
      </xdr:nvSpPr>
      <xdr:spPr bwMode="gray">
        <a:xfrm>
          <a:off x="3495675" y="2962275"/>
          <a:ext cx="1133475" cy="371475"/>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clientData/>
  </xdr:twoCellAnchor>
  <xdr:twoCellAnchor>
    <xdr:from>
      <xdr:col>5</xdr:col>
      <xdr:colOff>390525</xdr:colOff>
      <xdr:row>13</xdr:row>
      <xdr:rowOff>68580</xdr:rowOff>
    </xdr:from>
    <xdr:to>
      <xdr:col>6</xdr:col>
      <xdr:colOff>723576</xdr:colOff>
      <xdr:row>15</xdr:row>
      <xdr:rowOff>2079</xdr:rowOff>
    </xdr:to>
    <xdr:sp macro="" textlink="">
      <xdr:nvSpPr>
        <xdr:cNvPr id="1869390" name="AutoShape 27">
          <a:hlinkClick xmlns:r="http://schemas.openxmlformats.org/officeDocument/2006/relationships" r:id="rId5"/>
          <a:extLst>
            <a:ext uri="{FF2B5EF4-FFF2-40B4-BE49-F238E27FC236}">
              <a16:creationId xmlns:a16="http://schemas.microsoft.com/office/drawing/2014/main" id="{C48ED19B-458F-45C6-995E-F9F6AFC01EE1}"/>
            </a:ext>
          </a:extLst>
        </xdr:cNvPr>
        <xdr:cNvSpPr>
          <a:spLocks noChangeArrowheads="1"/>
        </xdr:cNvSpPr>
      </xdr:nvSpPr>
      <xdr:spPr bwMode="gray">
        <a:xfrm>
          <a:off x="3438525" y="3000375"/>
          <a:ext cx="1019175" cy="29527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u="none" strike="noStrike" baseline="0">
              <a:solidFill>
                <a:srgbClr val="FFFFFF"/>
              </a:solidFill>
              <a:latin typeface="Arial"/>
              <a:cs typeface="Arial"/>
            </a:rPr>
            <a:t>Gestión</a:t>
          </a:r>
        </a:p>
      </xdr:txBody>
    </xdr:sp>
    <xdr:clientData/>
  </xdr:twoCellAnchor>
  <xdr:twoCellAnchor>
    <xdr:from>
      <xdr:col>5</xdr:col>
      <xdr:colOff>390525</xdr:colOff>
      <xdr:row>13</xdr:row>
      <xdr:rowOff>76200</xdr:rowOff>
    </xdr:from>
    <xdr:to>
      <xdr:col>5</xdr:col>
      <xdr:colOff>540580</xdr:colOff>
      <xdr:row>14</xdr:row>
      <xdr:rowOff>38100</xdr:rowOff>
    </xdr:to>
    <xdr:sp macro="" textlink="">
      <xdr:nvSpPr>
        <xdr:cNvPr id="1869391" name="Freeform 28">
          <a:extLst>
            <a:ext uri="{FF2B5EF4-FFF2-40B4-BE49-F238E27FC236}">
              <a16:creationId xmlns:a16="http://schemas.microsoft.com/office/drawing/2014/main" id="{C082A0D5-BDCD-4557-A51B-56793FD8D230}"/>
            </a:ext>
          </a:extLst>
        </xdr:cNvPr>
        <xdr:cNvSpPr>
          <a:spLocks/>
        </xdr:cNvSpPr>
      </xdr:nvSpPr>
      <xdr:spPr bwMode="gray">
        <a:xfrm>
          <a:off x="3438525" y="3009900"/>
          <a:ext cx="114300" cy="161925"/>
        </a:xfrm>
        <a:custGeom>
          <a:avLst/>
          <a:gdLst>
            <a:gd name="T0" fmla="*/ 73 w 596"/>
            <a:gd name="T1" fmla="*/ 0 h 598"/>
            <a:gd name="T2" fmla="*/ 0 w 596"/>
            <a:gd name="T3" fmla="*/ 66 h 598"/>
            <a:gd name="T4" fmla="*/ 0 w 596"/>
            <a:gd name="T5" fmla="*/ 332 h 598"/>
            <a:gd name="T6" fmla="*/ 100 w 596"/>
            <a:gd name="T7" fmla="*/ 98 h 598"/>
            <a:gd name="T8" fmla="*/ 366 w 596"/>
            <a:gd name="T9" fmla="*/ 0 h 598"/>
            <a:gd name="T10" fmla="*/ 73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s-PE"/>
        </a:p>
      </xdr:txBody>
    </xdr:sp>
    <xdr:clientData/>
  </xdr:twoCellAnchor>
  <xdr:twoCellAnchor>
    <xdr:from>
      <xdr:col>4</xdr:col>
      <xdr:colOff>403860</xdr:colOff>
      <xdr:row>5</xdr:row>
      <xdr:rowOff>0</xdr:rowOff>
    </xdr:from>
    <xdr:to>
      <xdr:col>7</xdr:col>
      <xdr:colOff>497211</xdr:colOff>
      <xdr:row>6</xdr:row>
      <xdr:rowOff>49736</xdr:rowOff>
    </xdr:to>
    <xdr:sp macro="" textlink="">
      <xdr:nvSpPr>
        <xdr:cNvPr id="4899" name="Rectangle 803">
          <a:extLst>
            <a:ext uri="{FF2B5EF4-FFF2-40B4-BE49-F238E27FC236}">
              <a16:creationId xmlns:a16="http://schemas.microsoft.com/office/drawing/2014/main" id="{41ABCDC9-6D33-4C3D-B382-EEBC7B93E104}"/>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0">
            <a:defRPr sz="1000"/>
          </a:pPr>
          <a:r>
            <a:rPr lang="en-US" sz="1100" b="1" i="1" u="none" strike="noStrike" baseline="0">
              <a:solidFill>
                <a:srgbClr val="000000"/>
              </a:solidFill>
              <a:latin typeface="Calibri"/>
            </a:rPr>
            <a:t>Seleccione la opción que desea ver:</a:t>
          </a:r>
        </a:p>
      </xdr:txBody>
    </xdr:sp>
    <xdr:clientData/>
  </xdr:twoCellAnchor>
  <xdr:twoCellAnchor>
    <xdr:from>
      <xdr:col>8</xdr:col>
      <xdr:colOff>371475</xdr:colOff>
      <xdr:row>11</xdr:row>
      <xdr:rowOff>0</xdr:rowOff>
    </xdr:from>
    <xdr:to>
      <xdr:col>11</xdr:col>
      <xdr:colOff>161925</xdr:colOff>
      <xdr:row>13</xdr:row>
      <xdr:rowOff>47625</xdr:rowOff>
    </xdr:to>
    <xdr:sp macro="" textlink="">
      <xdr:nvSpPr>
        <xdr:cNvPr id="4561582" name="AutoShape 30">
          <a:extLst>
            <a:ext uri="{FF2B5EF4-FFF2-40B4-BE49-F238E27FC236}">
              <a16:creationId xmlns:a16="http://schemas.microsoft.com/office/drawing/2014/main" id="{CE926471-60BA-4460-8AD9-0459B41962D6}"/>
            </a:ext>
          </a:extLst>
        </xdr:cNvPr>
        <xdr:cNvSpPr>
          <a:spLocks noChangeArrowheads="1"/>
        </xdr:cNvSpPr>
      </xdr:nvSpPr>
      <xdr:spPr bwMode="gray">
        <a:xfrm>
          <a:off x="5781675" y="2571750"/>
          <a:ext cx="1428750" cy="428625"/>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clientData/>
  </xdr:twoCellAnchor>
  <xdr:twoCellAnchor>
    <xdr:from>
      <xdr:col>8</xdr:col>
      <xdr:colOff>411480</xdr:colOff>
      <xdr:row>11</xdr:row>
      <xdr:rowOff>41910</xdr:rowOff>
    </xdr:from>
    <xdr:to>
      <xdr:col>11</xdr:col>
      <xdr:colOff>141042</xdr:colOff>
      <xdr:row>13</xdr:row>
      <xdr:rowOff>16</xdr:rowOff>
    </xdr:to>
    <xdr:sp macro="" textlink="">
      <xdr:nvSpPr>
        <xdr:cNvPr id="1869387" name="AutoShape 31">
          <a:hlinkClick xmlns:r="http://schemas.openxmlformats.org/officeDocument/2006/relationships" r:id="rId6"/>
          <a:extLst>
            <a:ext uri="{FF2B5EF4-FFF2-40B4-BE49-F238E27FC236}">
              <a16:creationId xmlns:a16="http://schemas.microsoft.com/office/drawing/2014/main" id="{2B542E98-22F6-4578-AFA9-DAB4875A6DC3}"/>
            </a:ext>
          </a:extLst>
        </xdr:cNvPr>
        <xdr:cNvSpPr>
          <a:spLocks noChangeArrowheads="1"/>
        </xdr:cNvSpPr>
      </xdr:nvSpPr>
      <xdr:spPr bwMode="gray">
        <a:xfrm>
          <a:off x="5743575" y="2619375"/>
          <a:ext cx="1409700" cy="333375"/>
        </a:xfrm>
        <a:prstGeom prst="roundRect">
          <a:avLst>
            <a:gd name="adj" fmla="val 11921"/>
          </a:avLst>
        </a:prstGeom>
        <a:solidFill>
          <a:srgbClr val="99FF99"/>
        </a:solidFill>
        <a:ln w="9525">
          <a:solidFill>
            <a:srgbClr val="FEFEFE"/>
          </a:solidFill>
          <a:round/>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Recomendaciones</a:t>
          </a:r>
        </a:p>
      </xdr:txBody>
    </xdr:sp>
    <xdr:clientData/>
  </xdr:twoCellAnchor>
  <xdr:twoCellAnchor>
    <xdr:from>
      <xdr:col>8</xdr:col>
      <xdr:colOff>447675</xdr:colOff>
      <xdr:row>11</xdr:row>
      <xdr:rowOff>76200</xdr:rowOff>
    </xdr:from>
    <xdr:to>
      <xdr:col>8</xdr:col>
      <xdr:colOff>619125</xdr:colOff>
      <xdr:row>12</xdr:row>
      <xdr:rowOff>57150</xdr:rowOff>
    </xdr:to>
    <xdr:sp macro="" textlink="">
      <xdr:nvSpPr>
        <xdr:cNvPr id="4561584" name="Freeform 32">
          <a:extLst>
            <a:ext uri="{FF2B5EF4-FFF2-40B4-BE49-F238E27FC236}">
              <a16:creationId xmlns:a16="http://schemas.microsoft.com/office/drawing/2014/main" id="{D5252405-6759-4B86-AA5D-BE80CB08B901}"/>
            </a:ext>
          </a:extLst>
        </xdr:cNvPr>
        <xdr:cNvSpPr>
          <a:spLocks/>
        </xdr:cNvSpPr>
      </xdr:nvSpPr>
      <xdr:spPr bwMode="gray">
        <a:xfrm>
          <a:off x="5857875" y="2647950"/>
          <a:ext cx="171450" cy="171450"/>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304800</xdr:colOff>
      <xdr:row>7</xdr:row>
      <xdr:rowOff>104775</xdr:rowOff>
    </xdr:from>
    <xdr:to>
      <xdr:col>4</xdr:col>
      <xdr:colOff>133350</xdr:colOff>
      <xdr:row>18</xdr:row>
      <xdr:rowOff>142875</xdr:rowOff>
    </xdr:to>
    <xdr:sp macro="" textlink="">
      <xdr:nvSpPr>
        <xdr:cNvPr id="4561585" name="AutoShape 31">
          <a:extLst>
            <a:ext uri="{FF2B5EF4-FFF2-40B4-BE49-F238E27FC236}">
              <a16:creationId xmlns:a16="http://schemas.microsoft.com/office/drawing/2014/main" id="{29FC8E28-8155-4DF2-9987-38FDF19BA12C}"/>
            </a:ext>
          </a:extLst>
        </xdr:cNvPr>
        <xdr:cNvSpPr>
          <a:spLocks noChangeArrowheads="1"/>
        </xdr:cNvSpPr>
      </xdr:nvSpPr>
      <xdr:spPr bwMode="gray">
        <a:xfrm>
          <a:off x="381000" y="1914525"/>
          <a:ext cx="2114550" cy="2133600"/>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clientData/>
  </xdr:twoCellAnchor>
  <xdr:twoCellAnchor>
    <xdr:from>
      <xdr:col>1</xdr:col>
      <xdr:colOff>428625</xdr:colOff>
      <xdr:row>8</xdr:row>
      <xdr:rowOff>0</xdr:rowOff>
    </xdr:from>
    <xdr:to>
      <xdr:col>2</xdr:col>
      <xdr:colOff>82275</xdr:colOff>
      <xdr:row>9</xdr:row>
      <xdr:rowOff>127959</xdr:rowOff>
    </xdr:to>
    <xdr:sp macro="" textlink="">
      <xdr:nvSpPr>
        <xdr:cNvPr id="1869384" name="Freeform 32">
          <a:extLst>
            <a:ext uri="{FF2B5EF4-FFF2-40B4-BE49-F238E27FC236}">
              <a16:creationId xmlns:a16="http://schemas.microsoft.com/office/drawing/2014/main" id="{68A48C3B-58DC-43BF-8C83-A593DD89DE62}"/>
            </a:ext>
          </a:extLst>
        </xdr:cNvPr>
        <xdr:cNvSpPr>
          <a:spLocks/>
        </xdr:cNvSpPr>
      </xdr:nvSpPr>
      <xdr:spPr bwMode="gray">
        <a:xfrm>
          <a:off x="419100" y="1981200"/>
          <a:ext cx="476250" cy="314325"/>
        </a:xfrm>
        <a:custGeom>
          <a:avLst/>
          <a:gdLst>
            <a:gd name="T0" fmla="*/ 10 w 596"/>
            <a:gd name="T1" fmla="*/ 0 h 598"/>
            <a:gd name="T2" fmla="*/ 0 w 596"/>
            <a:gd name="T3" fmla="*/ 7 h 598"/>
            <a:gd name="T4" fmla="*/ 0 w 596"/>
            <a:gd name="T5" fmla="*/ 33 h 598"/>
            <a:gd name="T6" fmla="*/ 14 w 596"/>
            <a:gd name="T7" fmla="*/ 10 h 598"/>
            <a:gd name="T8" fmla="*/ 49 w 596"/>
            <a:gd name="T9" fmla="*/ 0 h 598"/>
            <a:gd name="T10" fmla="*/ 1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s-PE"/>
        </a:p>
      </xdr:txBody>
    </xdr:sp>
    <xdr:clientData/>
  </xdr:twoCellAnchor>
  <xdr:twoCellAnchor>
    <xdr:from>
      <xdr:col>8</xdr:col>
      <xdr:colOff>361950</xdr:colOff>
      <xdr:row>14</xdr:row>
      <xdr:rowOff>66675</xdr:rowOff>
    </xdr:from>
    <xdr:to>
      <xdr:col>11</xdr:col>
      <xdr:colOff>161925</xdr:colOff>
      <xdr:row>16</xdr:row>
      <xdr:rowOff>95250</xdr:rowOff>
    </xdr:to>
    <xdr:sp macro="" textlink="">
      <xdr:nvSpPr>
        <xdr:cNvPr id="4561587" name="AutoShape 30">
          <a:extLst>
            <a:ext uri="{FF2B5EF4-FFF2-40B4-BE49-F238E27FC236}">
              <a16:creationId xmlns:a16="http://schemas.microsoft.com/office/drawing/2014/main" id="{E33348F9-F164-4497-9FE4-897A146A192F}"/>
            </a:ext>
          </a:extLst>
        </xdr:cNvPr>
        <xdr:cNvSpPr>
          <a:spLocks noChangeArrowheads="1"/>
        </xdr:cNvSpPr>
      </xdr:nvSpPr>
      <xdr:spPr bwMode="gray">
        <a:xfrm>
          <a:off x="5772150" y="3209925"/>
          <a:ext cx="1438275" cy="409575"/>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clientData/>
  </xdr:twoCellAnchor>
  <xdr:twoCellAnchor>
    <xdr:from>
      <xdr:col>8</xdr:col>
      <xdr:colOff>390525</xdr:colOff>
      <xdr:row>14</xdr:row>
      <xdr:rowOff>127635</xdr:rowOff>
    </xdr:from>
    <xdr:to>
      <xdr:col>11</xdr:col>
      <xdr:colOff>112638</xdr:colOff>
      <xdr:row>16</xdr:row>
      <xdr:rowOff>52229</xdr:rowOff>
    </xdr:to>
    <xdr:sp macro="" textlink="">
      <xdr:nvSpPr>
        <xdr:cNvPr id="1869381" name="AutoShape 31">
          <a:hlinkClick xmlns:r="http://schemas.openxmlformats.org/officeDocument/2006/relationships" r:id="rId7"/>
          <a:extLst>
            <a:ext uri="{FF2B5EF4-FFF2-40B4-BE49-F238E27FC236}">
              <a16:creationId xmlns:a16="http://schemas.microsoft.com/office/drawing/2014/main" id="{B299E530-1388-4A29-838F-297774A603ED}"/>
            </a:ext>
          </a:extLst>
        </xdr:cNvPr>
        <xdr:cNvSpPr>
          <a:spLocks noChangeArrowheads="1"/>
        </xdr:cNvSpPr>
      </xdr:nvSpPr>
      <xdr:spPr bwMode="gray">
        <a:xfrm>
          <a:off x="5724525" y="3248025"/>
          <a:ext cx="1409700" cy="333375"/>
        </a:xfrm>
        <a:prstGeom prst="roundRect">
          <a:avLst>
            <a:gd name="adj" fmla="val 11921"/>
          </a:avLst>
        </a:prstGeom>
        <a:solidFill>
          <a:srgbClr val="99FF99"/>
        </a:solidFill>
        <a:ln w="9525">
          <a:solidFill>
            <a:srgbClr val="FEFEFE"/>
          </a:solidFill>
          <a:round/>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Acciones</a:t>
          </a:r>
        </a:p>
      </xdr:txBody>
    </xdr:sp>
    <xdr:clientData/>
  </xdr:twoCellAnchor>
  <xdr:twoCellAnchor>
    <xdr:from>
      <xdr:col>8</xdr:col>
      <xdr:colOff>419100</xdr:colOff>
      <xdr:row>14</xdr:row>
      <xdr:rowOff>161925</xdr:rowOff>
    </xdr:from>
    <xdr:to>
      <xdr:col>8</xdr:col>
      <xdr:colOff>590550</xdr:colOff>
      <xdr:row>15</xdr:row>
      <xdr:rowOff>133350</xdr:rowOff>
    </xdr:to>
    <xdr:sp macro="" textlink="">
      <xdr:nvSpPr>
        <xdr:cNvPr id="4561589" name="Freeform 32">
          <a:extLst>
            <a:ext uri="{FF2B5EF4-FFF2-40B4-BE49-F238E27FC236}">
              <a16:creationId xmlns:a16="http://schemas.microsoft.com/office/drawing/2014/main" id="{AA0B714A-B513-4FF4-9465-2D5AD024FB32}"/>
            </a:ext>
          </a:extLst>
        </xdr:cNvPr>
        <xdr:cNvSpPr>
          <a:spLocks/>
        </xdr:cNvSpPr>
      </xdr:nvSpPr>
      <xdr:spPr bwMode="gray">
        <a:xfrm>
          <a:off x="5829300" y="3305175"/>
          <a:ext cx="171450" cy="161925"/>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647700</xdr:colOff>
      <xdr:row>15</xdr:row>
      <xdr:rowOff>180975</xdr:rowOff>
    </xdr:from>
    <xdr:to>
      <xdr:col>3</xdr:col>
      <xdr:colOff>619125</xdr:colOff>
      <xdr:row>18</xdr:row>
      <xdr:rowOff>28575</xdr:rowOff>
    </xdr:to>
    <xdr:sp macro="" textlink="">
      <xdr:nvSpPr>
        <xdr:cNvPr id="4561590" name="AutoShape 30">
          <a:extLst>
            <a:ext uri="{FF2B5EF4-FFF2-40B4-BE49-F238E27FC236}">
              <a16:creationId xmlns:a16="http://schemas.microsoft.com/office/drawing/2014/main" id="{FD7CD819-C4B7-4905-899D-38FF6E170AFD}"/>
            </a:ext>
          </a:extLst>
        </xdr:cNvPr>
        <xdr:cNvSpPr>
          <a:spLocks noChangeArrowheads="1"/>
        </xdr:cNvSpPr>
      </xdr:nvSpPr>
      <xdr:spPr bwMode="gray">
        <a:xfrm>
          <a:off x="723900" y="3514725"/>
          <a:ext cx="1495425" cy="41910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clientData/>
  </xdr:twoCellAnchor>
  <xdr:twoCellAnchor>
    <xdr:from>
      <xdr:col>1</xdr:col>
      <xdr:colOff>699135</xdr:colOff>
      <xdr:row>16</xdr:row>
      <xdr:rowOff>2770</xdr:rowOff>
    </xdr:from>
    <xdr:to>
      <xdr:col>3</xdr:col>
      <xdr:colOff>574302</xdr:colOff>
      <xdr:row>18</xdr:row>
      <xdr:rowOff>4131</xdr:rowOff>
    </xdr:to>
    <xdr:sp macro="" textlink="">
      <xdr:nvSpPr>
        <xdr:cNvPr id="1869377" name="AutoShape 31">
          <a:hlinkClick xmlns:r="http://schemas.openxmlformats.org/officeDocument/2006/relationships" r:id="rId8"/>
          <a:extLst>
            <a:ext uri="{FF2B5EF4-FFF2-40B4-BE49-F238E27FC236}">
              <a16:creationId xmlns:a16="http://schemas.microsoft.com/office/drawing/2014/main" id="{9AB6B962-7C30-42DB-9610-813846E48A23}"/>
            </a:ext>
          </a:extLst>
        </xdr:cNvPr>
        <xdr:cNvSpPr>
          <a:spLocks noChangeArrowheads="1"/>
        </xdr:cNvSpPr>
      </xdr:nvSpPr>
      <xdr:spPr bwMode="gray">
        <a:xfrm>
          <a:off x="625719" y="3497872"/>
          <a:ext cx="1425819" cy="392723"/>
        </a:xfrm>
        <a:prstGeom prst="roundRect">
          <a:avLst>
            <a:gd name="adj" fmla="val 11921"/>
          </a:avLst>
        </a:prstGeom>
        <a:gradFill rotWithShape="1">
          <a:gsLst>
            <a:gs pos="0">
              <a:srgbClr val="4F81BD"/>
            </a:gs>
            <a:gs pos="100000">
              <a:srgbClr val="375A84"/>
            </a:gs>
          </a:gsLst>
          <a:lin ang="5400000" scaled="1"/>
        </a:gradFill>
        <a:ln w="9525">
          <a:solidFill>
            <a:srgbClr val="FEFEFE"/>
          </a:solidFill>
          <a:round/>
          <a:headEnd/>
          <a:tailEnd/>
        </a:ln>
      </xdr:spPr>
      <xdr:txBody>
        <a:bodyPr vertOverflow="clip" wrap="square" lIns="27432" tIns="22860" rIns="27432" bIns="22860" anchor="ctr" upright="1"/>
        <a:lstStyle/>
        <a:p>
          <a:pPr algn="ctr" rtl="0">
            <a:defRPr sz="1000"/>
          </a:pPr>
          <a:r>
            <a:rPr lang="en-US" sz="1000" b="0" i="0" u="none" strike="noStrike" baseline="0">
              <a:solidFill>
                <a:srgbClr val="FFFFFF"/>
              </a:solidFill>
              <a:latin typeface="Arial"/>
              <a:cs typeface="Arial"/>
            </a:rPr>
            <a:t>Información de la subvención</a:t>
          </a:r>
        </a:p>
      </xdr:txBody>
    </xdr:sp>
    <xdr:clientData/>
  </xdr:twoCellAnchor>
  <xdr:twoCellAnchor>
    <xdr:from>
      <xdr:col>1</xdr:col>
      <xdr:colOff>718185</xdr:colOff>
      <xdr:row>16</xdr:row>
      <xdr:rowOff>0</xdr:rowOff>
    </xdr:from>
    <xdr:to>
      <xdr:col>1</xdr:col>
      <xdr:colOff>744379</xdr:colOff>
      <xdr:row>16</xdr:row>
      <xdr:rowOff>158491</xdr:rowOff>
    </xdr:to>
    <xdr:sp macro="" textlink="">
      <xdr:nvSpPr>
        <xdr:cNvPr id="1869378" name="Freeform 32">
          <a:extLst>
            <a:ext uri="{FF2B5EF4-FFF2-40B4-BE49-F238E27FC236}">
              <a16:creationId xmlns:a16="http://schemas.microsoft.com/office/drawing/2014/main" id="{2D4B3622-21BF-471D-BE13-9D5AE06508B2}"/>
            </a:ext>
          </a:extLst>
        </xdr:cNvPr>
        <xdr:cNvSpPr>
          <a:spLocks/>
        </xdr:cNvSpPr>
      </xdr:nvSpPr>
      <xdr:spPr bwMode="gray">
        <a:xfrm>
          <a:off x="647700" y="3524250"/>
          <a:ext cx="142875" cy="133350"/>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s-PE"/>
        </a:p>
      </xdr:txBody>
    </xdr:sp>
    <xdr:clientData/>
  </xdr:twoCellAnchor>
  <xdr:twoCellAnchor>
    <xdr:from>
      <xdr:col>1</xdr:col>
      <xdr:colOff>647700</xdr:colOff>
      <xdr:row>10</xdr:row>
      <xdr:rowOff>47625</xdr:rowOff>
    </xdr:from>
    <xdr:to>
      <xdr:col>3</xdr:col>
      <xdr:colOff>619125</xdr:colOff>
      <xdr:row>12</xdr:row>
      <xdr:rowOff>19050</xdr:rowOff>
    </xdr:to>
    <xdr:sp macro="" textlink="">
      <xdr:nvSpPr>
        <xdr:cNvPr id="4561593" name="AutoShape 30">
          <a:extLst>
            <a:ext uri="{FF2B5EF4-FFF2-40B4-BE49-F238E27FC236}">
              <a16:creationId xmlns:a16="http://schemas.microsoft.com/office/drawing/2014/main" id="{B2684AFE-0C81-443E-AA5E-D46679EA365D}"/>
            </a:ext>
          </a:extLst>
        </xdr:cNvPr>
        <xdr:cNvSpPr>
          <a:spLocks noChangeArrowheads="1"/>
        </xdr:cNvSpPr>
      </xdr:nvSpPr>
      <xdr:spPr bwMode="gray">
        <a:xfrm>
          <a:off x="723900" y="2428875"/>
          <a:ext cx="1495425" cy="352425"/>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clientData/>
  </xdr:twoCellAnchor>
  <xdr:twoCellAnchor>
    <xdr:from>
      <xdr:col>1</xdr:col>
      <xdr:colOff>699135</xdr:colOff>
      <xdr:row>10</xdr:row>
      <xdr:rowOff>85725</xdr:rowOff>
    </xdr:from>
    <xdr:to>
      <xdr:col>3</xdr:col>
      <xdr:colOff>579082</xdr:colOff>
      <xdr:row>12</xdr:row>
      <xdr:rowOff>1976</xdr:rowOff>
    </xdr:to>
    <xdr:sp macro="" textlink="">
      <xdr:nvSpPr>
        <xdr:cNvPr id="1869373" name="AutoShape 31">
          <a:hlinkClick xmlns:r="http://schemas.openxmlformats.org/officeDocument/2006/relationships" r:id="rId9"/>
          <a:extLst>
            <a:ext uri="{FF2B5EF4-FFF2-40B4-BE49-F238E27FC236}">
              <a16:creationId xmlns:a16="http://schemas.microsoft.com/office/drawing/2014/main" id="{8D3C130E-53C4-4E52-AD05-540E86BAD0D1}"/>
            </a:ext>
          </a:extLst>
        </xdr:cNvPr>
        <xdr:cNvSpPr>
          <a:spLocks noChangeArrowheads="1"/>
        </xdr:cNvSpPr>
      </xdr:nvSpPr>
      <xdr:spPr bwMode="gray">
        <a:xfrm>
          <a:off x="628650" y="2447925"/>
          <a:ext cx="1438275" cy="304800"/>
        </a:xfrm>
        <a:prstGeom prst="roundRect">
          <a:avLst>
            <a:gd name="adj" fmla="val 11921"/>
          </a:avLst>
        </a:prstGeom>
        <a:gradFill rotWithShape="1">
          <a:gsLst>
            <a:gs pos="0">
              <a:srgbClr val="4F81BD"/>
            </a:gs>
            <a:gs pos="100000">
              <a:srgbClr val="375A84"/>
            </a:gs>
          </a:gsLst>
          <a:lin ang="5400000" scaled="1"/>
        </a:gradFill>
        <a:ln w="9525">
          <a:solidFill>
            <a:srgbClr val="FEFEFE"/>
          </a:solidFill>
          <a:round/>
          <a:headEnd/>
          <a:tailEnd/>
        </a:ln>
      </xdr:spPr>
      <xdr:txBody>
        <a:bodyPr vertOverflow="clip" wrap="square" lIns="27432" tIns="22860" rIns="27432" bIns="22860" anchor="ctr" upright="1"/>
        <a:lstStyle/>
        <a:p>
          <a:pPr algn="ctr" rtl="0">
            <a:defRPr sz="1000"/>
          </a:pPr>
          <a:r>
            <a:rPr lang="en-US" sz="1000" b="0" i="0" u="none" strike="noStrike" baseline="0">
              <a:solidFill>
                <a:srgbClr val="FFFFFF"/>
              </a:solidFill>
              <a:latin typeface="Arial"/>
              <a:cs typeface="Arial"/>
            </a:rPr>
            <a:t>Lista de indicadores</a:t>
          </a:r>
        </a:p>
      </xdr:txBody>
    </xdr:sp>
    <xdr:clientData/>
  </xdr:twoCellAnchor>
  <xdr:twoCellAnchor>
    <xdr:from>
      <xdr:col>1</xdr:col>
      <xdr:colOff>718185</xdr:colOff>
      <xdr:row>10</xdr:row>
      <xdr:rowOff>116205</xdr:rowOff>
    </xdr:from>
    <xdr:to>
      <xdr:col>2</xdr:col>
      <xdr:colOff>11663</xdr:colOff>
      <xdr:row>11</xdr:row>
      <xdr:rowOff>45111</xdr:rowOff>
    </xdr:to>
    <xdr:sp macro="" textlink="">
      <xdr:nvSpPr>
        <xdr:cNvPr id="1869374" name="Freeform 32">
          <a:extLst>
            <a:ext uri="{FF2B5EF4-FFF2-40B4-BE49-F238E27FC236}">
              <a16:creationId xmlns:a16="http://schemas.microsoft.com/office/drawing/2014/main" id="{70D793EE-FF0D-4C2F-A1AB-B9FB2C407674}"/>
            </a:ext>
          </a:extLst>
        </xdr:cNvPr>
        <xdr:cNvSpPr>
          <a:spLocks/>
        </xdr:cNvSpPr>
      </xdr:nvSpPr>
      <xdr:spPr bwMode="gray">
        <a:xfrm>
          <a:off x="647700" y="2466975"/>
          <a:ext cx="142875" cy="161925"/>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s-PE"/>
        </a:p>
      </xdr:txBody>
    </xdr:sp>
    <xdr:clientData/>
  </xdr:twoCellAnchor>
  <xdr:twoCellAnchor>
    <xdr:from>
      <xdr:col>1</xdr:col>
      <xdr:colOff>647700</xdr:colOff>
      <xdr:row>12</xdr:row>
      <xdr:rowOff>228600</xdr:rowOff>
    </xdr:from>
    <xdr:to>
      <xdr:col>3</xdr:col>
      <xdr:colOff>619125</xdr:colOff>
      <xdr:row>14</xdr:row>
      <xdr:rowOff>219075</xdr:rowOff>
    </xdr:to>
    <xdr:sp macro="" textlink="">
      <xdr:nvSpPr>
        <xdr:cNvPr id="4561596" name="AutoShape 30">
          <a:extLst>
            <a:ext uri="{FF2B5EF4-FFF2-40B4-BE49-F238E27FC236}">
              <a16:creationId xmlns:a16="http://schemas.microsoft.com/office/drawing/2014/main" id="{7AE00659-F315-494B-BDC9-9F3336BFE647}"/>
            </a:ext>
          </a:extLst>
        </xdr:cNvPr>
        <xdr:cNvSpPr>
          <a:spLocks noChangeArrowheads="1"/>
        </xdr:cNvSpPr>
      </xdr:nvSpPr>
      <xdr:spPr bwMode="gray">
        <a:xfrm>
          <a:off x="723900" y="2952750"/>
          <a:ext cx="1495425" cy="38100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sp>
    <xdr:clientData/>
  </xdr:twoCellAnchor>
  <xdr:twoCellAnchor>
    <xdr:from>
      <xdr:col>1</xdr:col>
      <xdr:colOff>699135</xdr:colOff>
      <xdr:row>13</xdr:row>
      <xdr:rowOff>38100</xdr:rowOff>
    </xdr:from>
    <xdr:to>
      <xdr:col>3</xdr:col>
      <xdr:colOff>579082</xdr:colOff>
      <xdr:row>14</xdr:row>
      <xdr:rowOff>187602</xdr:rowOff>
    </xdr:to>
    <xdr:sp macro="" textlink="">
      <xdr:nvSpPr>
        <xdr:cNvPr id="1869369" name="AutoShape 31">
          <a:hlinkClick xmlns:r="http://schemas.openxmlformats.org/officeDocument/2006/relationships" r:id="rId10"/>
          <a:extLst>
            <a:ext uri="{FF2B5EF4-FFF2-40B4-BE49-F238E27FC236}">
              <a16:creationId xmlns:a16="http://schemas.microsoft.com/office/drawing/2014/main" id="{B42229A5-61D0-4BAB-9F99-53978EAC0651}"/>
            </a:ext>
          </a:extLst>
        </xdr:cNvPr>
        <xdr:cNvSpPr>
          <a:spLocks noChangeArrowheads="1"/>
        </xdr:cNvSpPr>
      </xdr:nvSpPr>
      <xdr:spPr bwMode="gray">
        <a:xfrm>
          <a:off x="628650" y="2981325"/>
          <a:ext cx="1438275" cy="304800"/>
        </a:xfrm>
        <a:prstGeom prst="roundRect">
          <a:avLst>
            <a:gd name="adj" fmla="val 11921"/>
          </a:avLst>
        </a:prstGeom>
        <a:gradFill rotWithShape="1">
          <a:gsLst>
            <a:gs pos="0">
              <a:srgbClr val="4F81BD"/>
            </a:gs>
            <a:gs pos="100000">
              <a:srgbClr val="375A84"/>
            </a:gs>
          </a:gsLst>
          <a:lin ang="5400000" scaled="1"/>
        </a:gradFill>
        <a:ln w="9525">
          <a:solidFill>
            <a:srgbClr val="FEFEFE"/>
          </a:solidFill>
          <a:round/>
          <a:headEnd/>
          <a:tailEnd/>
        </a:ln>
      </xdr:spPr>
      <xdr:txBody>
        <a:bodyPr vertOverflow="clip" wrap="square" lIns="27432" tIns="22860" rIns="27432" bIns="22860" anchor="ctr" upright="1"/>
        <a:lstStyle/>
        <a:p>
          <a:pPr algn="ctr" rtl="0">
            <a:defRPr sz="1000"/>
          </a:pPr>
          <a:r>
            <a:rPr lang="en-US" sz="1000" b="0" i="0" u="none" strike="noStrike" baseline="0">
              <a:solidFill>
                <a:srgbClr val="FFFFFF"/>
              </a:solidFill>
              <a:latin typeface="Arial"/>
              <a:cs typeface="Arial"/>
            </a:rPr>
            <a:t>Introducción de datos</a:t>
          </a:r>
        </a:p>
      </xdr:txBody>
    </xdr:sp>
    <xdr:clientData/>
  </xdr:twoCellAnchor>
  <xdr:twoCellAnchor>
    <xdr:from>
      <xdr:col>1</xdr:col>
      <xdr:colOff>718185</xdr:colOff>
      <xdr:row>13</xdr:row>
      <xdr:rowOff>68580</xdr:rowOff>
    </xdr:from>
    <xdr:to>
      <xdr:col>2</xdr:col>
      <xdr:colOff>11663</xdr:colOff>
      <xdr:row>14</xdr:row>
      <xdr:rowOff>13035</xdr:rowOff>
    </xdr:to>
    <xdr:sp macro="" textlink="">
      <xdr:nvSpPr>
        <xdr:cNvPr id="1869370" name="Freeform 32">
          <a:extLst>
            <a:ext uri="{FF2B5EF4-FFF2-40B4-BE49-F238E27FC236}">
              <a16:creationId xmlns:a16="http://schemas.microsoft.com/office/drawing/2014/main" id="{A3F0057D-302D-4CBA-9EC0-34A59C4ADAD1}"/>
            </a:ext>
          </a:extLst>
        </xdr:cNvPr>
        <xdr:cNvSpPr>
          <a:spLocks/>
        </xdr:cNvSpPr>
      </xdr:nvSpPr>
      <xdr:spPr bwMode="gray">
        <a:xfrm>
          <a:off x="647700" y="3000375"/>
          <a:ext cx="142875" cy="161925"/>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s-PE"/>
        </a:p>
      </xdr:txBody>
    </xdr:sp>
    <xdr:clientData/>
  </xdr:twoCellAnchor>
  <xdr:twoCellAnchor editAs="oneCell">
    <xdr:from>
      <xdr:col>1</xdr:col>
      <xdr:colOff>323850</xdr:colOff>
      <xdr:row>7</xdr:row>
      <xdr:rowOff>76200</xdr:rowOff>
    </xdr:from>
    <xdr:to>
      <xdr:col>4</xdr:col>
      <xdr:colOff>133350</xdr:colOff>
      <xdr:row>9</xdr:row>
      <xdr:rowOff>171450</xdr:rowOff>
    </xdr:to>
    <xdr:pic>
      <xdr:nvPicPr>
        <xdr:cNvPr id="4561599" name="Picture 2012">
          <a:extLst>
            <a:ext uri="{FF2B5EF4-FFF2-40B4-BE49-F238E27FC236}">
              <a16:creationId xmlns:a16="http://schemas.microsoft.com/office/drawing/2014/main" id="{BF38E6CC-B8E7-4129-90C8-1D9D1FF3B2D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00050" y="1885950"/>
          <a:ext cx="20955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403860</xdr:colOff>
      <xdr:row>7</xdr:row>
      <xdr:rowOff>154305</xdr:rowOff>
    </xdr:from>
    <xdr:to>
      <xdr:col>4</xdr:col>
      <xdr:colOff>66580</xdr:colOff>
      <xdr:row>10</xdr:row>
      <xdr:rowOff>89</xdr:rowOff>
    </xdr:to>
    <xdr:sp macro="" textlink="">
      <xdr:nvSpPr>
        <xdr:cNvPr id="1869362" name="Text Box 2013">
          <a:extLst>
            <a:ext uri="{FF2B5EF4-FFF2-40B4-BE49-F238E27FC236}">
              <a16:creationId xmlns:a16="http://schemas.microsoft.com/office/drawing/2014/main" id="{C3D31D55-22C3-47FC-B806-1A5AADCCB67A}"/>
            </a:ext>
          </a:extLst>
        </xdr:cNvPr>
        <xdr:cNvSpPr txBox="1">
          <a:spLocks noChangeArrowheads="1"/>
        </xdr:cNvSpPr>
      </xdr:nvSpPr>
      <xdr:spPr bwMode="auto">
        <a:xfrm>
          <a:off x="400050" y="1914525"/>
          <a:ext cx="2019300" cy="4667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100" b="0" i="0" u="none" strike="noStrike" baseline="0">
              <a:solidFill>
                <a:srgbClr val="000000"/>
              </a:solidFill>
              <a:latin typeface="Arial"/>
              <a:cs typeface="Arial"/>
            </a:rPr>
            <a:t>Información de la subvención</a:t>
          </a:r>
          <a:endParaRPr lang="en-US" sz="1800" b="0" i="0" u="none" strike="noStrike" baseline="0">
            <a:solidFill>
              <a:srgbClr val="000000"/>
            </a:solidFill>
            <a:latin typeface="Arial"/>
            <a:cs typeface="Arial"/>
          </a:endParaRPr>
        </a:p>
        <a:p>
          <a:pPr algn="ctr" rtl="0">
            <a:defRPr sz="1000"/>
          </a:pPr>
          <a:endParaRPr lang="en-US" sz="1800" b="0" i="0" u="none" strike="noStrike" baseline="0">
            <a:solidFill>
              <a:srgbClr val="000000"/>
            </a:solidFill>
            <a:latin typeface="Arial"/>
            <a:cs typeface="Arial"/>
          </a:endParaRPr>
        </a:p>
      </xdr:txBody>
    </xdr:sp>
    <xdr:clientData/>
  </xdr:twoCellAnchor>
  <xdr:twoCellAnchor editAs="oneCell">
    <xdr:from>
      <xdr:col>4</xdr:col>
      <xdr:colOff>304800</xdr:colOff>
      <xdr:row>7</xdr:row>
      <xdr:rowOff>76200</xdr:rowOff>
    </xdr:from>
    <xdr:to>
      <xdr:col>7</xdr:col>
      <xdr:colOff>704850</xdr:colOff>
      <xdr:row>9</xdr:row>
      <xdr:rowOff>171450</xdr:rowOff>
    </xdr:to>
    <xdr:pic>
      <xdr:nvPicPr>
        <xdr:cNvPr id="4561601" name="Picture 2016">
          <a:extLst>
            <a:ext uri="{FF2B5EF4-FFF2-40B4-BE49-F238E27FC236}">
              <a16:creationId xmlns:a16="http://schemas.microsoft.com/office/drawing/2014/main" id="{AF989301-2EBC-4860-83F8-103134897E7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67000" y="1885950"/>
          <a:ext cx="2686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739140</xdr:colOff>
      <xdr:row>7</xdr:row>
      <xdr:rowOff>152400</xdr:rowOff>
    </xdr:from>
    <xdr:to>
      <xdr:col>7</xdr:col>
      <xdr:colOff>365794</xdr:colOff>
      <xdr:row>9</xdr:row>
      <xdr:rowOff>128061</xdr:rowOff>
    </xdr:to>
    <xdr:sp macro="" textlink="">
      <xdr:nvSpPr>
        <xdr:cNvPr id="955361" name="Text Box 2017">
          <a:extLst>
            <a:ext uri="{FF2B5EF4-FFF2-40B4-BE49-F238E27FC236}">
              <a16:creationId xmlns:a16="http://schemas.microsoft.com/office/drawing/2014/main" id="{06ECA7D1-4E9F-40D3-BB15-6483568A49E8}"/>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a:cs typeface="Arial"/>
            </a:rPr>
            <a:t>Indicadores</a:t>
          </a:r>
          <a:endParaRPr lang="en-US" sz="1800" b="0" i="0" u="none" strike="noStrike" baseline="0">
            <a:solidFill>
              <a:srgbClr val="000000"/>
            </a:solidFill>
            <a:latin typeface="Arial"/>
            <a:cs typeface="Arial"/>
          </a:endParaRPr>
        </a:p>
        <a:p>
          <a:pPr algn="ctr" rtl="0">
            <a:defRPr sz="1000"/>
          </a:pPr>
          <a:endParaRPr lang="en-US" sz="1800" b="0" i="0" u="none" strike="noStrike" baseline="0">
            <a:solidFill>
              <a:srgbClr val="000000"/>
            </a:solidFill>
            <a:latin typeface="Arial"/>
            <a:cs typeface="Arial"/>
          </a:endParaRPr>
        </a:p>
      </xdr:txBody>
    </xdr:sp>
    <xdr:clientData/>
  </xdr:twoCellAnchor>
  <xdr:twoCellAnchor editAs="oneCell">
    <xdr:from>
      <xdr:col>7</xdr:col>
      <xdr:colOff>923925</xdr:colOff>
      <xdr:row>7</xdr:row>
      <xdr:rowOff>95250</xdr:rowOff>
    </xdr:from>
    <xdr:to>
      <xdr:col>11</xdr:col>
      <xdr:colOff>504825</xdr:colOff>
      <xdr:row>9</xdr:row>
      <xdr:rowOff>171450</xdr:rowOff>
    </xdr:to>
    <xdr:pic>
      <xdr:nvPicPr>
        <xdr:cNvPr id="4561603" name="Picture 2018">
          <a:extLst>
            <a:ext uri="{FF2B5EF4-FFF2-40B4-BE49-F238E27FC236}">
              <a16:creationId xmlns:a16="http://schemas.microsoft.com/office/drawing/2014/main" id="{FA2629EC-A9EB-4D97-A53E-2ABE09750D96}"/>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410200" y="1905000"/>
          <a:ext cx="21431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xdr:colOff>
      <xdr:row>7</xdr:row>
      <xdr:rowOff>152400</xdr:rowOff>
    </xdr:from>
    <xdr:to>
      <xdr:col>11</xdr:col>
      <xdr:colOff>438479</xdr:colOff>
      <xdr:row>9</xdr:row>
      <xdr:rowOff>128061</xdr:rowOff>
    </xdr:to>
    <xdr:sp macro="" textlink="">
      <xdr:nvSpPr>
        <xdr:cNvPr id="955363" name="Text Box 2019">
          <a:extLst>
            <a:ext uri="{FF2B5EF4-FFF2-40B4-BE49-F238E27FC236}">
              <a16:creationId xmlns:a16="http://schemas.microsoft.com/office/drawing/2014/main" id="{3614B2EE-B355-49F1-9CBE-4C40435E6CAB}"/>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a:cs typeface="Arial"/>
            </a:rPr>
            <a:t>Informes</a:t>
          </a:r>
          <a:endParaRPr lang="en-US" sz="1800" b="0" i="0" u="none" strike="noStrike" baseline="0">
            <a:solidFill>
              <a:srgbClr val="000000"/>
            </a:solidFill>
            <a:latin typeface="Arial"/>
            <a:cs typeface="Arial"/>
          </a:endParaRPr>
        </a:p>
        <a:p>
          <a:pPr algn="ctr" rtl="0">
            <a:defRPr sz="1000"/>
          </a:pPr>
          <a:endParaRPr lang="en-US" sz="1800" b="0" i="0" u="none" strike="noStrike" baseline="0">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180975</xdr:colOff>
      <xdr:row>1</xdr:row>
      <xdr:rowOff>85725</xdr:rowOff>
    </xdr:from>
    <xdr:to>
      <xdr:col>1</xdr:col>
      <xdr:colOff>161925</xdr:colOff>
      <xdr:row>4</xdr:row>
      <xdr:rowOff>104775</xdr:rowOff>
    </xdr:to>
    <xdr:pic>
      <xdr:nvPicPr>
        <xdr:cNvPr id="9832" name="Picture 2" descr="C:\Documents and Settings\Administrator\My Documents\My Pictures\Prueba.jpg">
          <a:extLst>
            <a:ext uri="{FF2B5EF4-FFF2-40B4-BE49-F238E27FC236}">
              <a16:creationId xmlns:a16="http://schemas.microsoft.com/office/drawing/2014/main" id="{8FB4A527-60F6-44EA-B186-5E2925102E53}"/>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276225"/>
          <a:ext cx="7429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1411441</xdr:colOff>
      <xdr:row>1</xdr:row>
      <xdr:rowOff>63</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D6EF1F9A-436B-4094-836B-07717D1FF5F7}"/>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u="none" strike="noStrike" baseline="0">
              <a:solidFill>
                <a:srgbClr val="000000"/>
              </a:solidFill>
              <a:latin typeface="Calibri"/>
            </a:rPr>
            <a:t>Menú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1257300</xdr:colOff>
      <xdr:row>34</xdr:row>
      <xdr:rowOff>171450</xdr:rowOff>
    </xdr:from>
    <xdr:to>
      <xdr:col>6</xdr:col>
      <xdr:colOff>1257300</xdr:colOff>
      <xdr:row>45</xdr:row>
      <xdr:rowOff>200025</xdr:rowOff>
    </xdr:to>
    <xdr:cxnSp macro="">
      <xdr:nvCxnSpPr>
        <xdr:cNvPr id="3435166" name="AutoShape 100">
          <a:extLst>
            <a:ext uri="{FF2B5EF4-FFF2-40B4-BE49-F238E27FC236}">
              <a16:creationId xmlns:a16="http://schemas.microsoft.com/office/drawing/2014/main" id="{7FD5FCB3-0F48-476B-A08E-EBE8945AC59E}"/>
            </a:ext>
          </a:extLst>
        </xdr:cNvPr>
        <xdr:cNvCxnSpPr>
          <a:cxnSpLocks noChangeShapeType="1"/>
        </xdr:cNvCxnSpPr>
      </xdr:nvCxnSpPr>
      <xdr:spPr bwMode="auto">
        <a:xfrm rot="5400000">
          <a:off x="11730037" y="6986588"/>
          <a:ext cx="2352675"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2242</xdr:colOff>
      <xdr:row>0</xdr:row>
      <xdr:rowOff>0</xdr:rowOff>
    </xdr:from>
    <xdr:to>
      <xdr:col>1</xdr:col>
      <xdr:colOff>1141374</xdr:colOff>
      <xdr:row>1</xdr:row>
      <xdr:rowOff>0</xdr:rowOff>
    </xdr:to>
    <xdr:sp macro="" textlink="">
      <xdr:nvSpPr>
        <xdr:cNvPr id="5" name="AutoShape 50">
          <a:hlinkClick xmlns:r="http://schemas.openxmlformats.org/officeDocument/2006/relationships" r:id="rId1"/>
          <a:extLst>
            <a:ext uri="{FF2B5EF4-FFF2-40B4-BE49-F238E27FC236}">
              <a16:creationId xmlns:a16="http://schemas.microsoft.com/office/drawing/2014/main" id="{B658E3F1-A0A5-4174-97EF-7F62855F2DBE}"/>
            </a:ext>
          </a:extLst>
        </xdr:cNvPr>
        <xdr:cNvSpPr>
          <a:spLocks noChangeArrowheads="1"/>
        </xdr:cNvSpPr>
      </xdr:nvSpPr>
      <xdr:spPr bwMode="auto">
        <a:xfrm>
          <a:off x="173692" y="0"/>
          <a:ext cx="921684" cy="3333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u="none" strike="noStrike" baseline="0">
              <a:solidFill>
                <a:srgbClr val="000000"/>
              </a:solidFill>
              <a:latin typeface="Calibri"/>
            </a:rPr>
            <a:t>Menú</a:t>
          </a:r>
        </a:p>
      </xdr:txBody>
    </xdr:sp>
    <xdr:clientData/>
  </xdr:twoCellAnchor>
  <xdr:twoCellAnchor>
    <xdr:from>
      <xdr:col>2</xdr:col>
      <xdr:colOff>1504950</xdr:colOff>
      <xdr:row>47</xdr:row>
      <xdr:rowOff>47625</xdr:rowOff>
    </xdr:from>
    <xdr:to>
      <xdr:col>6</xdr:col>
      <xdr:colOff>1219200</xdr:colOff>
      <xdr:row>48</xdr:row>
      <xdr:rowOff>57150</xdr:rowOff>
    </xdr:to>
    <xdr:grpSp>
      <xdr:nvGrpSpPr>
        <xdr:cNvPr id="3435168" name="Group 18">
          <a:extLst>
            <a:ext uri="{FF2B5EF4-FFF2-40B4-BE49-F238E27FC236}">
              <a16:creationId xmlns:a16="http://schemas.microsoft.com/office/drawing/2014/main" id="{B561C2C5-DA57-4CD3-A5DC-48FE5F4C0DC0}"/>
            </a:ext>
          </a:extLst>
        </xdr:cNvPr>
        <xdr:cNvGrpSpPr>
          <a:grpSpLocks/>
        </xdr:cNvGrpSpPr>
      </xdr:nvGrpSpPr>
      <xdr:grpSpPr bwMode="auto">
        <a:xfrm>
          <a:off x="8248650" y="8442325"/>
          <a:ext cx="4670425" cy="200025"/>
          <a:chOff x="7946572" y="8082643"/>
          <a:chExt cx="4833258" cy="193223"/>
        </a:xfrm>
      </xdr:grpSpPr>
      <xdr:cxnSp macro="">
        <xdr:nvCxnSpPr>
          <xdr:cNvPr id="3435169" name="AutoShape 100">
            <a:extLst>
              <a:ext uri="{FF2B5EF4-FFF2-40B4-BE49-F238E27FC236}">
                <a16:creationId xmlns:a16="http://schemas.microsoft.com/office/drawing/2014/main" id="{762C5DD0-9AE0-4B06-A8AE-46F628D993F2}"/>
              </a:ext>
            </a:extLst>
          </xdr:cNvPr>
          <xdr:cNvCxnSpPr>
            <a:cxnSpLocks noChangeShapeType="1"/>
          </xdr:cNvCxnSpPr>
        </xdr:nvCxnSpPr>
        <xdr:spPr bwMode="auto">
          <a:xfrm>
            <a:off x="7960179" y="8259536"/>
            <a:ext cx="4816928" cy="1588"/>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435170" name="Straight Connector 16">
            <a:extLst>
              <a:ext uri="{FF2B5EF4-FFF2-40B4-BE49-F238E27FC236}">
                <a16:creationId xmlns:a16="http://schemas.microsoft.com/office/drawing/2014/main" id="{E1D86D01-3D3D-4574-A0E2-6BBBC52F4420}"/>
              </a:ext>
            </a:extLst>
          </xdr:cNvPr>
          <xdr:cNvCxnSpPr>
            <a:cxnSpLocks noChangeShapeType="1"/>
          </xdr:cNvCxnSpPr>
        </xdr:nvCxnSpPr>
        <xdr:spPr bwMode="auto">
          <a:xfrm rot="5400000" flipH="1" flipV="1">
            <a:off x="7858125" y="8171090"/>
            <a:ext cx="176893" cy="0"/>
          </a:xfrm>
          <a:prstGeom prst="line">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3435171" name="Straight Connector 17">
            <a:extLst>
              <a:ext uri="{FF2B5EF4-FFF2-40B4-BE49-F238E27FC236}">
                <a16:creationId xmlns:a16="http://schemas.microsoft.com/office/drawing/2014/main" id="{1C0E55D2-9704-4E98-962E-305B84603DB0}"/>
              </a:ext>
            </a:extLst>
          </xdr:cNvPr>
          <xdr:cNvCxnSpPr>
            <a:cxnSpLocks noChangeShapeType="1"/>
          </xdr:cNvCxnSpPr>
        </xdr:nvCxnSpPr>
        <xdr:spPr bwMode="auto">
          <a:xfrm rot="5400000" flipH="1" flipV="1">
            <a:off x="12691383" y="8187420"/>
            <a:ext cx="176893" cy="0"/>
          </a:xfrm>
          <a:prstGeom prst="line">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234315</xdr:colOff>
      <xdr:row>2</xdr:row>
      <xdr:rowOff>0</xdr:rowOff>
    </xdr:from>
    <xdr:to>
      <xdr:col>1</xdr:col>
      <xdr:colOff>822</xdr:colOff>
      <xdr:row>2</xdr:row>
      <xdr:rowOff>451279</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FC30ACBB-B1BA-4B52-8360-C6C84C022515}"/>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112395</xdr:colOff>
      <xdr:row>0</xdr:row>
      <xdr:rowOff>51089</xdr:rowOff>
    </xdr:from>
    <xdr:to>
      <xdr:col>0</xdr:col>
      <xdr:colOff>1253564</xdr:colOff>
      <xdr:row>1</xdr:row>
      <xdr:rowOff>120012</xdr:rowOff>
    </xdr:to>
    <xdr:sp macro="" textlink="">
      <xdr:nvSpPr>
        <xdr:cNvPr id="4" name="AutoShape 50">
          <a:hlinkClick xmlns:r="http://schemas.openxmlformats.org/officeDocument/2006/relationships" r:id="rId2"/>
          <a:extLst>
            <a:ext uri="{FF2B5EF4-FFF2-40B4-BE49-F238E27FC236}">
              <a16:creationId xmlns:a16="http://schemas.microsoft.com/office/drawing/2014/main" id="{3D56A5C3-5AAB-4AD6-827B-7E9753EE1AEB}"/>
            </a:ext>
          </a:extLst>
        </xdr:cNvPr>
        <xdr:cNvSpPr>
          <a:spLocks noChangeArrowheads="1"/>
        </xdr:cNvSpPr>
      </xdr:nvSpPr>
      <xdr:spPr bwMode="auto">
        <a:xfrm>
          <a:off x="85725" y="41564"/>
          <a:ext cx="921684" cy="3333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u="none" strike="noStrike" baseline="0">
              <a:solidFill>
                <a:srgbClr val="000000"/>
              </a:solidFill>
              <a:latin typeface="Calibri"/>
            </a:rPr>
            <a:t>Menú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9</xdr:row>
      <xdr:rowOff>123825</xdr:rowOff>
    </xdr:from>
    <xdr:to>
      <xdr:col>6</xdr:col>
      <xdr:colOff>28575</xdr:colOff>
      <xdr:row>20</xdr:row>
      <xdr:rowOff>228600</xdr:rowOff>
    </xdr:to>
    <xdr:graphicFrame macro="">
      <xdr:nvGraphicFramePr>
        <xdr:cNvPr id="3547540" name="Chart 32">
          <a:extLst>
            <a:ext uri="{FF2B5EF4-FFF2-40B4-BE49-F238E27FC236}">
              <a16:creationId xmlns:a16="http://schemas.microsoft.com/office/drawing/2014/main" id="{14224EB5-3CA3-4BB7-80F0-BC73E2FB8F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1238250</xdr:colOff>
      <xdr:row>9</xdr:row>
      <xdr:rowOff>38100</xdr:rowOff>
    </xdr:from>
    <xdr:to>
      <xdr:col>10</xdr:col>
      <xdr:colOff>704850</xdr:colOff>
      <xdr:row>20</xdr:row>
      <xdr:rowOff>371475</xdr:rowOff>
    </xdr:to>
    <xdr:graphicFrame macro="">
      <xdr:nvGraphicFramePr>
        <xdr:cNvPr id="3547541" name="Chart 31">
          <a:extLst>
            <a:ext uri="{FF2B5EF4-FFF2-40B4-BE49-F238E27FC236}">
              <a16:creationId xmlns:a16="http://schemas.microsoft.com/office/drawing/2014/main" id="{99087D27-17EC-48BA-ABEF-49CBB623FF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5</xdr:col>
      <xdr:colOff>2162175</xdr:colOff>
      <xdr:row>30</xdr:row>
      <xdr:rowOff>47625</xdr:rowOff>
    </xdr:to>
    <xdr:graphicFrame macro="">
      <xdr:nvGraphicFramePr>
        <xdr:cNvPr id="3547542" name="Chart 34">
          <a:extLst>
            <a:ext uri="{FF2B5EF4-FFF2-40B4-BE49-F238E27FC236}">
              <a16:creationId xmlns:a16="http://schemas.microsoft.com/office/drawing/2014/main" id="{C8DB1D65-967F-4CA8-976C-FB72DD72C5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2</xdr:col>
      <xdr:colOff>7817</xdr:colOff>
      <xdr:row>1</xdr:row>
      <xdr:rowOff>866</xdr:rowOff>
    </xdr:to>
    <xdr:sp macro="" textlink="">
      <xdr:nvSpPr>
        <xdr:cNvPr id="8" name="AutoShape 50">
          <a:hlinkClick xmlns:r="http://schemas.openxmlformats.org/officeDocument/2006/relationships" r:id="rId4"/>
          <a:extLst>
            <a:ext uri="{FF2B5EF4-FFF2-40B4-BE49-F238E27FC236}">
              <a16:creationId xmlns:a16="http://schemas.microsoft.com/office/drawing/2014/main" id="{8A642C98-8E82-4238-8B58-3DE6DB0FDD1D}"/>
            </a:ext>
          </a:extLst>
        </xdr:cNvPr>
        <xdr:cNvSpPr>
          <a:spLocks noChangeArrowheads="1"/>
        </xdr:cNvSpPr>
      </xdr:nvSpPr>
      <xdr:spPr bwMode="auto">
        <a:xfrm>
          <a:off x="0" y="0"/>
          <a:ext cx="921684" cy="3333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u="none" strike="noStrike" baseline="0">
              <a:solidFill>
                <a:srgbClr val="000000"/>
              </a:solidFill>
              <a:latin typeface="Calibri"/>
            </a:rPr>
            <a:t>Menú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219075</xdr:rowOff>
    </xdr:from>
    <xdr:to>
      <xdr:col>12</xdr:col>
      <xdr:colOff>266700</xdr:colOff>
      <xdr:row>14</xdr:row>
      <xdr:rowOff>190500</xdr:rowOff>
    </xdr:to>
    <xdr:graphicFrame macro="">
      <xdr:nvGraphicFramePr>
        <xdr:cNvPr id="3551838" name="Chart 1034">
          <a:extLst>
            <a:ext uri="{FF2B5EF4-FFF2-40B4-BE49-F238E27FC236}">
              <a16:creationId xmlns:a16="http://schemas.microsoft.com/office/drawing/2014/main" id="{E4FB626C-16F9-484D-9848-CC58FD7F18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16</xdr:row>
      <xdr:rowOff>0</xdr:rowOff>
    </xdr:from>
    <xdr:to>
      <xdr:col>5</xdr:col>
      <xdr:colOff>1190625</xdr:colOff>
      <xdr:row>25</xdr:row>
      <xdr:rowOff>38100</xdr:rowOff>
    </xdr:to>
    <xdr:graphicFrame macro="">
      <xdr:nvGraphicFramePr>
        <xdr:cNvPr id="3551839" name="Chart 1039">
          <a:extLst>
            <a:ext uri="{FF2B5EF4-FFF2-40B4-BE49-F238E27FC236}">
              <a16:creationId xmlns:a16="http://schemas.microsoft.com/office/drawing/2014/main" id="{3DECC208-F1C9-44A0-AEA9-1CC124CAA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xdr:row>
      <xdr:rowOff>19050</xdr:rowOff>
    </xdr:from>
    <xdr:to>
      <xdr:col>6</xdr:col>
      <xdr:colOff>123825</xdr:colOff>
      <xdr:row>14</xdr:row>
      <xdr:rowOff>314325</xdr:rowOff>
    </xdr:to>
    <xdr:graphicFrame macro="">
      <xdr:nvGraphicFramePr>
        <xdr:cNvPr id="3551840" name="Chart 1046">
          <a:extLst>
            <a:ext uri="{FF2B5EF4-FFF2-40B4-BE49-F238E27FC236}">
              <a16:creationId xmlns:a16="http://schemas.microsoft.com/office/drawing/2014/main" id="{310920AD-345A-4523-B3C1-00D9464A81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1352550</xdr:colOff>
      <xdr:row>16</xdr:row>
      <xdr:rowOff>19050</xdr:rowOff>
    </xdr:from>
    <xdr:to>
      <xdr:col>13</xdr:col>
      <xdr:colOff>209550</xdr:colOff>
      <xdr:row>25</xdr:row>
      <xdr:rowOff>66675</xdr:rowOff>
    </xdr:to>
    <xdr:graphicFrame macro="">
      <xdr:nvGraphicFramePr>
        <xdr:cNvPr id="3551841" name="Chart 1054">
          <a:extLst>
            <a:ext uri="{FF2B5EF4-FFF2-40B4-BE49-F238E27FC236}">
              <a16:creationId xmlns:a16="http://schemas.microsoft.com/office/drawing/2014/main" id="{C3B5111A-1A9D-4363-9720-E819C3F64A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266700</xdr:colOff>
      <xdr:row>27</xdr:row>
      <xdr:rowOff>57150</xdr:rowOff>
    </xdr:from>
    <xdr:to>
      <xdr:col>6</xdr:col>
      <xdr:colOff>142875</xdr:colOff>
      <xdr:row>33</xdr:row>
      <xdr:rowOff>295275</xdr:rowOff>
    </xdr:to>
    <xdr:graphicFrame macro="">
      <xdr:nvGraphicFramePr>
        <xdr:cNvPr id="3551842" name="Chart 1091">
          <a:extLst>
            <a:ext uri="{FF2B5EF4-FFF2-40B4-BE49-F238E27FC236}">
              <a16:creationId xmlns:a16="http://schemas.microsoft.com/office/drawing/2014/main" id="{095EB611-EE1D-401D-8687-D089968C4D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0</xdr:row>
      <xdr:rowOff>5043</xdr:rowOff>
    </xdr:from>
    <xdr:to>
      <xdr:col>1</xdr:col>
      <xdr:colOff>859769</xdr:colOff>
      <xdr:row>1</xdr:row>
      <xdr:rowOff>8000</xdr:rowOff>
    </xdr:to>
    <xdr:sp macro="" textlink="">
      <xdr:nvSpPr>
        <xdr:cNvPr id="8" name="AutoShape 50">
          <a:hlinkClick xmlns:r="http://schemas.openxmlformats.org/officeDocument/2006/relationships" r:id="rId6"/>
          <a:extLst>
            <a:ext uri="{FF2B5EF4-FFF2-40B4-BE49-F238E27FC236}">
              <a16:creationId xmlns:a16="http://schemas.microsoft.com/office/drawing/2014/main" id="{62169120-EF79-4040-8BB8-BDF667318E53}"/>
            </a:ext>
          </a:extLst>
        </xdr:cNvPr>
        <xdr:cNvSpPr>
          <a:spLocks noChangeArrowheads="1"/>
        </xdr:cNvSpPr>
      </xdr:nvSpPr>
      <xdr:spPr bwMode="auto">
        <a:xfrm>
          <a:off x="0" y="5043"/>
          <a:ext cx="921684" cy="3333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u="none" strike="noStrike" baseline="0">
              <a:solidFill>
                <a:srgbClr val="000000"/>
              </a:solidFill>
              <a:latin typeface="Calibri"/>
            </a:rPr>
            <a:t>Menú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200025</xdr:colOff>
      <xdr:row>9</xdr:row>
      <xdr:rowOff>57150</xdr:rowOff>
    </xdr:from>
    <xdr:to>
      <xdr:col>11</xdr:col>
      <xdr:colOff>57150</xdr:colOff>
      <xdr:row>17</xdr:row>
      <xdr:rowOff>0</xdr:rowOff>
    </xdr:to>
    <xdr:graphicFrame macro="">
      <xdr:nvGraphicFramePr>
        <xdr:cNvPr id="3622269" name="Chart 33">
          <a:extLst>
            <a:ext uri="{FF2B5EF4-FFF2-40B4-BE49-F238E27FC236}">
              <a16:creationId xmlns:a16="http://schemas.microsoft.com/office/drawing/2014/main" id="{5958B9EF-737B-4ACB-9314-B3B338E03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200025</xdr:colOff>
      <xdr:row>9</xdr:row>
      <xdr:rowOff>66675</xdr:rowOff>
    </xdr:from>
    <xdr:to>
      <xdr:col>16</xdr:col>
      <xdr:colOff>923925</xdr:colOff>
      <xdr:row>16</xdr:row>
      <xdr:rowOff>266700</xdr:rowOff>
    </xdr:to>
    <xdr:graphicFrame macro="">
      <xdr:nvGraphicFramePr>
        <xdr:cNvPr id="3622270" name="Chart 488">
          <a:extLst>
            <a:ext uri="{FF2B5EF4-FFF2-40B4-BE49-F238E27FC236}">
              <a16:creationId xmlns:a16="http://schemas.microsoft.com/office/drawing/2014/main" id="{45E4E8BA-B61F-4FB8-9BDF-7320BA247A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0</xdr:row>
      <xdr:rowOff>28575</xdr:rowOff>
    </xdr:from>
    <xdr:to>
      <xdr:col>1</xdr:col>
      <xdr:colOff>1152227</xdr:colOff>
      <xdr:row>1</xdr:row>
      <xdr:rowOff>28575</xdr:rowOff>
    </xdr:to>
    <xdr:sp macro="" textlink="">
      <xdr:nvSpPr>
        <xdr:cNvPr id="6" name="AutoShape 50">
          <a:hlinkClick xmlns:r="http://schemas.openxmlformats.org/officeDocument/2006/relationships" r:id="rId3"/>
          <a:extLst>
            <a:ext uri="{FF2B5EF4-FFF2-40B4-BE49-F238E27FC236}">
              <a16:creationId xmlns:a16="http://schemas.microsoft.com/office/drawing/2014/main" id="{A554DC25-6FCD-4844-8873-56E9E03A5F97}"/>
            </a:ext>
          </a:extLst>
        </xdr:cNvPr>
        <xdr:cNvSpPr>
          <a:spLocks noChangeArrowheads="1"/>
        </xdr:cNvSpPr>
      </xdr:nvSpPr>
      <xdr:spPr bwMode="auto">
        <a:xfrm>
          <a:off x="28575" y="19050"/>
          <a:ext cx="921684" cy="3333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u="none" strike="noStrike" baseline="0">
              <a:solidFill>
                <a:srgbClr val="000000"/>
              </a:solidFill>
              <a:latin typeface="Calibri"/>
            </a:rPr>
            <a:t>Menú</a:t>
          </a:r>
        </a:p>
      </xdr:txBody>
    </xdr:sp>
    <xdr:clientData/>
  </xdr:twoCellAnchor>
  <xdr:twoCellAnchor>
    <xdr:from>
      <xdr:col>1</xdr:col>
      <xdr:colOff>238125</xdr:colOff>
      <xdr:row>9</xdr:row>
      <xdr:rowOff>47625</xdr:rowOff>
    </xdr:from>
    <xdr:to>
      <xdr:col>4</xdr:col>
      <xdr:colOff>466725</xdr:colOff>
      <xdr:row>16</xdr:row>
      <xdr:rowOff>266700</xdr:rowOff>
    </xdr:to>
    <xdr:graphicFrame macro="">
      <xdr:nvGraphicFramePr>
        <xdr:cNvPr id="3622272" name="Chart 33">
          <a:extLst>
            <a:ext uri="{FF2B5EF4-FFF2-40B4-BE49-F238E27FC236}">
              <a16:creationId xmlns:a16="http://schemas.microsoft.com/office/drawing/2014/main" id="{0FEAF602-77CD-4A23-B52D-495E06618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114300</xdr:colOff>
      <xdr:row>20</xdr:row>
      <xdr:rowOff>0</xdr:rowOff>
    </xdr:to>
    <xdr:sp macro="" textlink="">
      <xdr:nvSpPr>
        <xdr:cNvPr id="3561357" name="Rectangle 11">
          <a:extLst>
            <a:ext uri="{FF2B5EF4-FFF2-40B4-BE49-F238E27FC236}">
              <a16:creationId xmlns:a16="http://schemas.microsoft.com/office/drawing/2014/main" id="{697E0BED-AFD8-4EFB-851E-242F3090545E}"/>
            </a:ext>
          </a:extLst>
        </xdr:cNvPr>
        <xdr:cNvSpPr>
          <a:spLocks noChangeArrowheads="1"/>
        </xdr:cNvSpPr>
      </xdr:nvSpPr>
      <xdr:spPr bwMode="auto">
        <a:xfrm>
          <a:off x="5553075" y="5143500"/>
          <a:ext cx="1143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20</xdr:row>
      <xdr:rowOff>0</xdr:rowOff>
    </xdr:from>
    <xdr:to>
      <xdr:col>8</xdr:col>
      <xdr:colOff>114300</xdr:colOff>
      <xdr:row>20</xdr:row>
      <xdr:rowOff>0</xdr:rowOff>
    </xdr:to>
    <xdr:sp macro="" textlink="">
      <xdr:nvSpPr>
        <xdr:cNvPr id="3561358" name="Arc 12">
          <a:extLst>
            <a:ext uri="{FF2B5EF4-FFF2-40B4-BE49-F238E27FC236}">
              <a16:creationId xmlns:a16="http://schemas.microsoft.com/office/drawing/2014/main" id="{23296037-3A09-4505-908C-5380DB796758}"/>
            </a:ext>
          </a:extLst>
        </xdr:cNvPr>
        <xdr:cNvSpPr>
          <a:spLocks/>
        </xdr:cNvSpPr>
      </xdr:nvSpPr>
      <xdr:spPr bwMode="auto">
        <a:xfrm rot="5400000" flipH="1" flipV="1">
          <a:off x="5610225" y="5086350"/>
          <a:ext cx="0" cy="11430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1238250</xdr:colOff>
      <xdr:row>20</xdr:row>
      <xdr:rowOff>0</xdr:rowOff>
    </xdr:from>
    <xdr:to>
      <xdr:col>9</xdr:col>
      <xdr:colOff>9525</xdr:colOff>
      <xdr:row>20</xdr:row>
      <xdr:rowOff>0</xdr:rowOff>
    </xdr:to>
    <xdr:sp macro="" textlink="">
      <xdr:nvSpPr>
        <xdr:cNvPr id="3561359" name="Rectangle 47">
          <a:extLst>
            <a:ext uri="{FF2B5EF4-FFF2-40B4-BE49-F238E27FC236}">
              <a16:creationId xmlns:a16="http://schemas.microsoft.com/office/drawing/2014/main" id="{1627B2C2-2628-42F7-AD37-234E208119C0}"/>
            </a:ext>
          </a:extLst>
        </xdr:cNvPr>
        <xdr:cNvSpPr>
          <a:spLocks noChangeArrowheads="1"/>
        </xdr:cNvSpPr>
      </xdr:nvSpPr>
      <xdr:spPr bwMode="auto">
        <a:xfrm rot="-5400000" flipH="1" flipV="1">
          <a:off x="6615113" y="5138737"/>
          <a:ext cx="0" cy="95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1238250</xdr:colOff>
      <xdr:row>20</xdr:row>
      <xdr:rowOff>0</xdr:rowOff>
    </xdr:from>
    <xdr:to>
      <xdr:col>9</xdr:col>
      <xdr:colOff>9525</xdr:colOff>
      <xdr:row>20</xdr:row>
      <xdr:rowOff>0</xdr:rowOff>
    </xdr:to>
    <xdr:sp macro="" textlink="">
      <xdr:nvSpPr>
        <xdr:cNvPr id="3561360" name="Arc 48">
          <a:extLst>
            <a:ext uri="{FF2B5EF4-FFF2-40B4-BE49-F238E27FC236}">
              <a16:creationId xmlns:a16="http://schemas.microsoft.com/office/drawing/2014/main" id="{3DBB6747-8645-4F9B-9439-85414F2A7B51}"/>
            </a:ext>
          </a:extLst>
        </xdr:cNvPr>
        <xdr:cNvSpPr>
          <a:spLocks/>
        </xdr:cNvSpPr>
      </xdr:nvSpPr>
      <xdr:spPr bwMode="auto">
        <a:xfrm>
          <a:off x="6610350" y="5143500"/>
          <a:ext cx="9525"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xdr:col>
      <xdr:colOff>971550</xdr:colOff>
      <xdr:row>20</xdr:row>
      <xdr:rowOff>0</xdr:rowOff>
    </xdr:from>
    <xdr:to>
      <xdr:col>7</xdr:col>
      <xdr:colOff>0</xdr:colOff>
      <xdr:row>20</xdr:row>
      <xdr:rowOff>0</xdr:rowOff>
    </xdr:to>
    <xdr:sp macro="" textlink="">
      <xdr:nvSpPr>
        <xdr:cNvPr id="3561361" name="Rectangle 47">
          <a:extLst>
            <a:ext uri="{FF2B5EF4-FFF2-40B4-BE49-F238E27FC236}">
              <a16:creationId xmlns:a16="http://schemas.microsoft.com/office/drawing/2014/main" id="{6CA55037-87F5-4BBA-8B33-F06C84827C16}"/>
            </a:ext>
          </a:extLst>
        </xdr:cNvPr>
        <xdr:cNvSpPr>
          <a:spLocks noChangeArrowheads="1"/>
        </xdr:cNvSpPr>
      </xdr:nvSpPr>
      <xdr:spPr bwMode="auto">
        <a:xfrm rot="-5400000" flipH="1" flipV="1">
          <a:off x="5267325" y="514350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971550</xdr:colOff>
      <xdr:row>20</xdr:row>
      <xdr:rowOff>0</xdr:rowOff>
    </xdr:from>
    <xdr:to>
      <xdr:col>7</xdr:col>
      <xdr:colOff>0</xdr:colOff>
      <xdr:row>20</xdr:row>
      <xdr:rowOff>0</xdr:rowOff>
    </xdr:to>
    <xdr:sp macro="" textlink="">
      <xdr:nvSpPr>
        <xdr:cNvPr id="3561362" name="Arc 48">
          <a:extLst>
            <a:ext uri="{FF2B5EF4-FFF2-40B4-BE49-F238E27FC236}">
              <a16:creationId xmlns:a16="http://schemas.microsoft.com/office/drawing/2014/main" id="{7D510575-4BB2-4046-90DD-22C8FABD6174}"/>
            </a:ext>
          </a:extLst>
        </xdr:cNvPr>
        <xdr:cNvSpPr>
          <a:spLocks/>
        </xdr:cNvSpPr>
      </xdr:nvSpPr>
      <xdr:spPr bwMode="auto">
        <a:xfrm>
          <a:off x="5267325" y="51435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0</xdr:colOff>
      <xdr:row>20</xdr:row>
      <xdr:rowOff>0</xdr:rowOff>
    </xdr:from>
    <xdr:to>
      <xdr:col>3</xdr:col>
      <xdr:colOff>114300</xdr:colOff>
      <xdr:row>20</xdr:row>
      <xdr:rowOff>0</xdr:rowOff>
    </xdr:to>
    <xdr:sp macro="" textlink="">
      <xdr:nvSpPr>
        <xdr:cNvPr id="3561363" name="Rectangle 11">
          <a:extLst>
            <a:ext uri="{FF2B5EF4-FFF2-40B4-BE49-F238E27FC236}">
              <a16:creationId xmlns:a16="http://schemas.microsoft.com/office/drawing/2014/main" id="{E7197DE2-3A86-4E65-87EB-C9C49450CC6E}"/>
            </a:ext>
          </a:extLst>
        </xdr:cNvPr>
        <xdr:cNvSpPr>
          <a:spLocks noChangeArrowheads="1"/>
        </xdr:cNvSpPr>
      </xdr:nvSpPr>
      <xdr:spPr bwMode="auto">
        <a:xfrm>
          <a:off x="1438275" y="5143500"/>
          <a:ext cx="1143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20</xdr:row>
      <xdr:rowOff>0</xdr:rowOff>
    </xdr:from>
    <xdr:to>
      <xdr:col>3</xdr:col>
      <xdr:colOff>114300</xdr:colOff>
      <xdr:row>20</xdr:row>
      <xdr:rowOff>0</xdr:rowOff>
    </xdr:to>
    <xdr:sp macro="" textlink="">
      <xdr:nvSpPr>
        <xdr:cNvPr id="3561364" name="Arc 12">
          <a:extLst>
            <a:ext uri="{FF2B5EF4-FFF2-40B4-BE49-F238E27FC236}">
              <a16:creationId xmlns:a16="http://schemas.microsoft.com/office/drawing/2014/main" id="{4E244CBD-1B14-472F-8640-1CDA53770AD8}"/>
            </a:ext>
          </a:extLst>
        </xdr:cNvPr>
        <xdr:cNvSpPr>
          <a:spLocks/>
        </xdr:cNvSpPr>
      </xdr:nvSpPr>
      <xdr:spPr bwMode="auto">
        <a:xfrm rot="5400000" flipH="1" flipV="1">
          <a:off x="1495425" y="5086350"/>
          <a:ext cx="0" cy="11430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58208</xdr:colOff>
      <xdr:row>0</xdr:row>
      <xdr:rowOff>49530</xdr:rowOff>
    </xdr:from>
    <xdr:to>
      <xdr:col>1</xdr:col>
      <xdr:colOff>1108351</xdr:colOff>
      <xdr:row>0</xdr:row>
      <xdr:rowOff>476250</xdr:rowOff>
    </xdr:to>
    <xdr:sp macro="" textlink="">
      <xdr:nvSpPr>
        <xdr:cNvPr id="11" name="AutoShape 50">
          <a:hlinkClick xmlns:r="http://schemas.openxmlformats.org/officeDocument/2006/relationships" r:id="rId1"/>
          <a:extLst>
            <a:ext uri="{FF2B5EF4-FFF2-40B4-BE49-F238E27FC236}">
              <a16:creationId xmlns:a16="http://schemas.microsoft.com/office/drawing/2014/main" id="{536B7381-490C-4E1A-8A72-EF8E76A32C45}"/>
            </a:ext>
          </a:extLst>
        </xdr:cNvPr>
        <xdr:cNvSpPr>
          <a:spLocks noChangeArrowheads="1"/>
        </xdr:cNvSpPr>
      </xdr:nvSpPr>
      <xdr:spPr bwMode="auto">
        <a:xfrm>
          <a:off x="48683" y="47625"/>
          <a:ext cx="921684" cy="3333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u="none" strike="noStrike" baseline="0">
              <a:solidFill>
                <a:srgbClr val="000000"/>
              </a:solidFill>
              <a:latin typeface="Calibri"/>
            </a:rPr>
            <a:t>Menú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640" name="Chart 1">
          <a:extLst>
            <a:ext uri="{FF2B5EF4-FFF2-40B4-BE49-F238E27FC236}">
              <a16:creationId xmlns:a16="http://schemas.microsoft.com/office/drawing/2014/main" id="{229F1B25-0B37-446F-BC0B-0F352993F6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38100</xdr:rowOff>
    </xdr:from>
    <xdr:to>
      <xdr:col>1</xdr:col>
      <xdr:colOff>821379</xdr:colOff>
      <xdr:row>0</xdr:row>
      <xdr:rowOff>382515</xdr:rowOff>
    </xdr:to>
    <xdr:sp macro="" textlink="">
      <xdr:nvSpPr>
        <xdr:cNvPr id="4" name="AutoShape 50">
          <a:hlinkClick xmlns:r="http://schemas.openxmlformats.org/officeDocument/2006/relationships" r:id="rId2"/>
          <a:extLst>
            <a:ext uri="{FF2B5EF4-FFF2-40B4-BE49-F238E27FC236}">
              <a16:creationId xmlns:a16="http://schemas.microsoft.com/office/drawing/2014/main" id="{5FC6630F-836B-4646-84D8-9448CCCABBCB}"/>
            </a:ext>
          </a:extLst>
        </xdr:cNvPr>
        <xdr:cNvSpPr>
          <a:spLocks noChangeArrowheads="1"/>
        </xdr:cNvSpPr>
      </xdr:nvSpPr>
      <xdr:spPr bwMode="auto">
        <a:xfrm>
          <a:off x="28575" y="28575"/>
          <a:ext cx="921684" cy="3333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u="none" strike="noStrike" baseline="0">
              <a:solidFill>
                <a:srgbClr val="000000"/>
              </a:solidFill>
              <a:latin typeface="Calibri"/>
            </a:rPr>
            <a:t>Menú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cargas/Ficticia%20HIV%20Dashboard_ES%20-%20Set%20Up%20and%20Maintenance%20Gui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indicadores"/>
      <sheetName val="Introducción de datos"/>
      <sheetName val="Información de la subvención"/>
      <sheetName val="Financiamiento"/>
      <sheetName val="Gestión"/>
      <sheetName val="Programatico"/>
      <sheetName val="Recomendaciones"/>
      <sheetName val="Acciones"/>
      <sheetName val="Setup"/>
    </sheetNames>
    <sheetDataSet>
      <sheetData sheetId="0"/>
      <sheetData sheetId="1">
        <row r="6">
          <cell r="B6" t="str">
            <v>Subvención nº:</v>
          </cell>
          <cell r="C6" t="str">
            <v>FIC-910-G01-H</v>
          </cell>
        </row>
      </sheetData>
      <sheetData sheetId="2">
        <row r="3">
          <cell r="B3" t="str">
            <v>Tablero de mando:  Ficticia - VIH / SIDA</v>
          </cell>
        </row>
      </sheetData>
      <sheetData sheetId="3"/>
      <sheetData sheetId="4"/>
      <sheetData sheetId="5"/>
      <sheetData sheetId="6"/>
      <sheetData sheetId="7"/>
      <sheetData sheetId="8">
        <row r="9">
          <cell r="J9" t="str">
            <v>Seleccionar</v>
          </cell>
        </row>
        <row r="10">
          <cell r="J10" t="str">
            <v>Ficticia</v>
          </cell>
        </row>
        <row r="11">
          <cell r="J11" t="str">
            <v>Antillas Holandesas</v>
          </cell>
        </row>
        <row r="12">
          <cell r="J12" t="str">
            <v>Argentina</v>
          </cell>
        </row>
        <row r="13">
          <cell r="J13" t="str">
            <v>Aruba</v>
          </cell>
        </row>
        <row r="14">
          <cell r="J14" t="str">
            <v>Bahamas</v>
          </cell>
        </row>
        <row r="15">
          <cell r="J15" t="str">
            <v>Barbados</v>
          </cell>
        </row>
        <row r="16">
          <cell r="J16" t="str">
            <v>Belice</v>
          </cell>
        </row>
        <row r="17">
          <cell r="J17" t="str">
            <v>Bermudas</v>
          </cell>
        </row>
        <row r="18">
          <cell r="J18" t="str">
            <v>Bolivia</v>
          </cell>
        </row>
        <row r="19">
          <cell r="J19" t="str">
            <v>Brasil</v>
          </cell>
        </row>
        <row r="20">
          <cell r="J20" t="str">
            <v>Cabo Verde</v>
          </cell>
        </row>
        <row r="21">
          <cell r="J21" t="str">
            <v>Chile</v>
          </cell>
        </row>
        <row r="22">
          <cell r="J22" t="str">
            <v>Colombia</v>
          </cell>
        </row>
        <row r="23">
          <cell r="J23" t="str">
            <v>Costa Rica</v>
          </cell>
        </row>
        <row r="24">
          <cell r="J24" t="str">
            <v>Cuba</v>
          </cell>
        </row>
        <row r="25">
          <cell r="J25" t="str">
            <v>Dominica</v>
          </cell>
        </row>
        <row r="26">
          <cell r="J26" t="str">
            <v>Ecuador</v>
          </cell>
        </row>
        <row r="27">
          <cell r="J27" t="str">
            <v>El Salvador</v>
          </cell>
        </row>
        <row r="28">
          <cell r="J28" t="str">
            <v>España</v>
          </cell>
        </row>
        <row r="29">
          <cell r="J29" t="str">
            <v>Guadalupe</v>
          </cell>
        </row>
        <row r="30">
          <cell r="J30" t="str">
            <v>Guatemala</v>
          </cell>
        </row>
        <row r="31">
          <cell r="J31" t="str">
            <v>Guinea</v>
          </cell>
        </row>
        <row r="32">
          <cell r="J32" t="str">
            <v>Guinea Ecuatorial</v>
          </cell>
        </row>
        <row r="33">
          <cell r="J33" t="str">
            <v>Guinea-Bissau</v>
          </cell>
        </row>
        <row r="34">
          <cell r="J34" t="str">
            <v>Guyana</v>
          </cell>
        </row>
        <row r="35">
          <cell r="J35" t="str">
            <v>Haití</v>
          </cell>
        </row>
        <row r="36">
          <cell r="J36" t="str">
            <v>Honduras</v>
          </cell>
        </row>
        <row r="37">
          <cell r="J37" t="str">
            <v>Islas Caimanes</v>
          </cell>
        </row>
        <row r="38">
          <cell r="J38" t="str">
            <v>Jamaica</v>
          </cell>
        </row>
        <row r="39">
          <cell r="J39" t="str">
            <v>México</v>
          </cell>
        </row>
        <row r="40">
          <cell r="J40" t="str">
            <v>Nicaragua</v>
          </cell>
        </row>
        <row r="41">
          <cell r="J41" t="str">
            <v>Panamá</v>
          </cell>
        </row>
        <row r="42">
          <cell r="J42" t="str">
            <v>Paraguay</v>
          </cell>
        </row>
        <row r="43">
          <cell r="J43" t="str">
            <v>Perú</v>
          </cell>
        </row>
        <row r="44">
          <cell r="J44" t="str">
            <v>Puerto Rico</v>
          </cell>
        </row>
        <row r="45">
          <cell r="J45" t="str">
            <v>San Vicente, Granadinas</v>
          </cell>
        </row>
        <row r="46">
          <cell r="J46" t="str">
            <v>Trinidad y Tobago</v>
          </cell>
        </row>
        <row r="47">
          <cell r="J47" t="str">
            <v>Uruguay</v>
          </cell>
        </row>
        <row r="48">
          <cell r="J48" t="str">
            <v>Venezuela</v>
          </cell>
        </row>
      </sheetData>
    </sheetDataSet>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1" connectionId="0">
    <xmlCellPr id="1" xr6:uid="{00000000-0010-0000-2D00-000001000000}" uniqueName="1">
      <xmlPr mapId="43" xpath="/ns1:Root/ns1:F2/ns1:TB_HIV__Cumulative_Budget__in___" xmlDataType="double"/>
    </xmlCellPr>
  </singleXmlCell>
  <singleXmlCell id="465" xr6:uid="{00000000-000C-0000-FFFF-FFFF2E000000}" r="D41" connectionId="0">
    <xmlCellPr id="1" xr6:uid="{00000000-0010-0000-2E00-000001000000}" uniqueName="1">
      <xmlPr mapId="43" xpath="/ns1:Root/ns1:F2/ns1:TB_HIV__Cumulative_Expenditures__in___" xmlDataType="double"/>
    </xmlCellPr>
  </singleXmlCell>
  <singleXmlCell id="466" xr6:uid="{00000000-000C-0000-FFFF-FFFF2F000000}" r="C42" connectionId="0">
    <xmlCellPr id="1" xr6:uid="{00000000-0010-0000-2F00-000001000000}" uniqueName="1">
      <xmlPr mapId="43" xpath="/ns1:Root/ns1:F2/ns1:Advocacy__Commun__SocMob_Cumulative_Budget__in___" xmlDataType="double"/>
    </xmlCellPr>
  </singleXmlCell>
  <singleXmlCell id="467" xr6:uid="{00000000-000C-0000-FFFF-FFFF30000000}" r="D42" connectionId="0">
    <xmlCellPr id="1" xr6:uid="{00000000-0010-0000-3000-000001000000}" uniqueName="1">
      <xmlPr mapId="43" xpath="/ns1:Root/ns1:F2/ns1:Advocacy__Commun__SocMob_Cumulative_Expenditures__in___" xmlDataType="double"/>
    </xmlCellPr>
  </singleXmlCell>
  <singleXmlCell id="468" xr6:uid="{00000000-000C-0000-FFFF-FFFF31000000}" r="C43" connectionId="0">
    <xmlCellPr id="1" xr6:uid="{00000000-0010-0000-3100-000001000000}" uniqueName="1">
      <xmlPr mapId="43" xpath="/ns1:Root/ns1:F2/ns1:Environ__Community_TB_care__Cumulative_Budget__in___" xmlDataType="double"/>
    </xmlCellPr>
  </singleXmlCell>
  <singleXmlCell id="469" xr6:uid="{00000000-000C-0000-FFFF-FFFF32000000}" r="D43" connectionId="0">
    <xmlCellPr id="1" xr6:uid="{00000000-0010-0000-3200-000001000000}" uniqueName="1">
      <xmlPr mapId="43" xpath="/ns1:Root/ns1:F2/ns1:Environ__Community_TB_care__Cumulative_Expenditures__in___" xmlDataType="double"/>
    </xmlCellPr>
  </singleXmlCell>
  <singleXmlCell id="470" xr6:uid="{00000000-000C-0000-FFFF-FFFF33000000}" r="C44" connectionId="0">
    <xmlCellPr id="1" xr6:uid="{00000000-0010-0000-3300-000001000000}" uniqueName="1">
      <xmlPr mapId="43" xpath="/ns1:Root/ns1:F2/ns1:_Cumulative_Budget__in____1" xmlDataType="string"/>
    </xmlCellPr>
  </singleXmlCell>
  <singleXmlCell id="471" xr6:uid="{00000000-000C-0000-FFFF-FFFF34000000}" r="D44" connectionId="0">
    <xmlCellPr id="1" xr6:uid="{00000000-0010-0000-3400-000001000000}" uniqueName="1">
      <xmlPr mapId="43" xpath="/ns1:Root/ns1:F2/ns1:_Cumulative_Expenditures__in____1" xmlDataType="string"/>
    </xmlCellPr>
  </singleXmlCell>
  <singleXmlCell id="472" xr6:uid="{00000000-000C-0000-FFFF-FFFF35000000}" r="C45" connectionId="0">
    <xmlCellPr id="1" xr6:uid="{00000000-0010-0000-3500-000001000000}" uniqueName="1">
      <xmlPr mapId="43" xpath="/ns1:Root/ns1:F2/ns1:_Cumulative_Budget__in____2" xmlDataType="string"/>
    </xmlCellPr>
  </singleXmlCell>
  <singleXmlCell id="473" xr6:uid="{00000000-000C-0000-FFFF-FFFF36000000}" r="D45" connectionId="0">
    <xmlCellPr id="1" xr6:uid="{00000000-0010-0000-3600-000001000000}" uniqueName="1">
      <xmlPr mapId="43" xpath="/ns1:Root/ns1:F2/ns1:_Cumulative_Expenditures__in____2" xmlDataType="string"/>
    </xmlCellPr>
  </singleXmlCell>
  <singleXmlCell id="474" xr6:uid="{00000000-000C-0000-FFFF-FFFF37000000}" r="C46" connectionId="0">
    <xmlCellPr id="1" xr6:uid="{00000000-0010-0000-3700-000001000000}" uniqueName="1">
      <xmlPr mapId="43" xpath="/ns1:Root/ns1:F2/ns1:_Cumulative_Budget__in___" xmlDataType="string"/>
    </xmlCellPr>
  </singleXmlCell>
  <singleXmlCell id="475" xr6:uid="{00000000-000C-0000-FFFF-FFFF38000000}" r="D46" connectionId="0">
    <xmlCellPr id="1" xr6:uid="{00000000-0010-0000-3800-000001000000}" uniqueName="1">
      <xmlPr mapId="43" xpath="/ns1:Root/ns1:F2/ns1:_Cumulative_Expenditures__in___" xmlDataType="string"/>
    </xmlCellPr>
  </singleXmlCell>
  <singleXmlCell id="476" xr6:uid="{00000000-000C-0000-FFFF-FFFF39000000}" r="C52" connectionId="0">
    <xmlCellPr id="1" xr6:uid="{00000000-0010-0000-3900-000001000000}" uniqueName="1">
      <xmlPr mapId="43" xpath="/ns1:Root/ns1:F3/ns1:Disbursed_by_Global_Fund_Prior_to_reporting_period__in___" xmlDataType="double"/>
    </xmlCellPr>
  </singleXmlCell>
  <singleXmlCell id="477" xr6:uid="{00000000-000C-0000-FFFF-FFFF3A000000}" r="D52" connectionId="0">
    <xmlCellPr id="1" xr6:uid="{00000000-0010-0000-3A00-000001000000}" uniqueName="1">
      <xmlPr mapId="43" xpath="/ns1:Root/ns1:F3/ns1:Disbursed_by_Global_Fund_Reporting_period__in___" xmlDataType="double"/>
    </xmlCellPr>
  </singleXmlCell>
  <singleXmlCell id="478" xr6:uid="{00000000-000C-0000-FFFF-FFFF3B000000}" r="C53" connectionId="0">
    <xmlCellPr id="1" xr6:uid="{00000000-0010-0000-3B00-000001000000}" uniqueName="1">
      <xmlPr mapId="43" xpath="/ns1:Root/ns1:F3/ns1:PR_expenditure_and_disbursement_Prior_to_reporting_period__in___" xmlDataType="double"/>
    </xmlCellPr>
  </singleXmlCell>
  <singleXmlCell id="479" xr6:uid="{00000000-000C-0000-FFFF-FFFF3C000000}" r="D53" connectionId="0">
    <xmlCellPr id="1" xr6:uid="{00000000-0010-0000-3C00-000001000000}" uniqueName="1">
      <xmlPr mapId="43" xpath="/ns1:Root/ns1:F3/ns1:PR_expenditure_and_disbursement_Reporting_period__in___" xmlDataType="double"/>
    </xmlCellPr>
  </singleXmlCell>
  <singleXmlCell id="480" xr6:uid="{00000000-000C-0000-FFFF-FFFF3D000000}" r="C54" connectionId="0">
    <xmlCellPr id="1" xr6:uid="{00000000-0010-0000-3D00-000001000000}" uniqueName="1">
      <xmlPr mapId="43" xpath="/ns1:Root/ns1:F3/ns1:Disbursed_to_SRs_Prior_to_reporting_period__in___" xmlDataType="double"/>
    </xmlCellPr>
  </singleXmlCell>
  <singleXmlCell id="481" xr6:uid="{00000000-000C-0000-FFFF-FFFF3E000000}" r="D54" connectionId="0">
    <xmlCellPr id="1" xr6:uid="{00000000-0010-0000-3E00-000001000000}" uniqueName="1">
      <xmlPr mapId="43" xpath="/ns1:Root/ns1:F3/ns1:Disbursed_to_SRs_Reporting_period__in___" xmlDataType="double"/>
    </xmlCellPr>
  </singleXmlCell>
  <singleXmlCell id="482" xr6:uid="{00000000-000C-0000-FFFF-FFFF3F000000}" r="C55" connectionId="0">
    <xmlCellPr id="1" xr6:uid="{00000000-0010-0000-3F00-000001000000}" uniqueName="1">
      <xmlPr mapId="43" xpath="/ns1:Root/ns1:F3/ns1:SR_expenditures_Prior_to_reporting_period__in___" xmlDataType="double"/>
    </xmlCellPr>
  </singleXmlCell>
  <singleXmlCell id="483" xr6:uid="{00000000-000C-0000-FFFF-FFFF40000000}" r="D55" connectionId="0">
    <xmlCellPr id="1" xr6:uid="{00000000-0010-0000-4000-000001000000}" uniqueName="1">
      <xmlPr mapId="43" xpath="/ns1:Root/ns1:F3/ns1:SR_expenditures_Reporting_period__in___" xmlDataType="double"/>
    </xmlCellPr>
  </singleXmlCell>
  <singleXmlCell id="484" xr6:uid="{00000000-000C-0000-FFFF-FFFF41000000}" r="C62" connectionId="0">
    <xmlCellPr id="1" xr6:uid="{00000000-0010-0000-4100-000001000000}" uniqueName="1">
      <xmlPr mapId="43" xpath="/ns1:Root/ns1:F4/ns1:Days_taken_to_submit_acceptable_PU_DR_to_LFA_Expected__days_" xmlDataType="double"/>
    </xmlCellPr>
  </singleXmlCell>
  <singleXmlCell id="485" xr6:uid="{00000000-000C-0000-FFFF-FFFF42000000}" r="D62" connectionId="0">
    <xmlCellPr id="1" xr6:uid="{00000000-0010-0000-4200-000001000000}" uniqueName="1">
      <xmlPr mapId="43" xpath="/ns1:Root/ns1:F4/ns1:Days_taken_to_submit_acceptable_PU_DR_to_LFA_Actual__days_" xmlDataType="double"/>
    </xmlCellPr>
  </singleXmlCell>
  <singleXmlCell id="486" xr6:uid="{00000000-000C-0000-FFFF-FFFF43000000}" r="C63" connectionId="0">
    <xmlCellPr id="1" xr6:uid="{00000000-0010-0000-4300-000001000000}" uniqueName="1">
      <xmlPr mapId="43" xpath="/ns1:Root/ns1:F4/ns1:Days_taken_for_disbursement_to_reach_PR_Expected__days_" xmlDataType="double"/>
    </xmlCellPr>
  </singleXmlCell>
  <singleXmlCell id="487" xr6:uid="{00000000-000C-0000-FFFF-FFFF44000000}" r="D63" connectionId="0">
    <xmlCellPr id="1" xr6:uid="{00000000-0010-0000-4400-000001000000}" uniqueName="1">
      <xmlPr mapId="43" xpath="/ns1:Root/ns1:F4/ns1:Days_taken_for_disbursement_to_reach_PR_Actual__days_" xmlDataType="double"/>
    </xmlCellPr>
  </singleXmlCell>
  <singleXmlCell id="488" xr6:uid="{00000000-000C-0000-FFFF-FFFF45000000}" r="C64" connectionId="0">
    <xmlCellPr id="1" xr6:uid="{00000000-0010-0000-4500-000001000000}" uniqueName="1">
      <xmlPr mapId="43" xpath="/ns1:Root/ns1:F4/ns1:Days_taken_for_disbursement_to_reach_SRs__Expected__days_" xmlDataType="double"/>
    </xmlCellPr>
  </singleXmlCell>
  <singleXmlCell id="489" xr6:uid="{00000000-000C-0000-FFFF-FFFF46000000}" r="D64" connectionId="0">
    <xmlCellPr id="1" xr6:uid="{00000000-0010-0000-4600-000001000000}" uniqueName="1">
      <xmlPr mapId="43" xpath="/ns1:Root/ns1:F4/ns1:Days_taken_for_disbursement_to_reach_SRs__Actual__days_" xmlDataType="double"/>
    </xmlCellPr>
  </singleXmlCell>
  <singleXmlCell id="490" xr6:uid="{00000000-000C-0000-FFFF-FFFF47000000}" r="B72" connectionId="0">
    <xmlCellPr id="1" xr6:uid="{00000000-0010-0000-4700-000001000000}" uniqueName="1">
      <xmlPr mapId="43" xpath="/ns1:Root/ns1:M1/ns1:Conditions_precedents__CPs__" xmlDataType="string"/>
    </xmlCellPr>
  </singleXmlCell>
  <singleXmlCell id="491" xr6:uid="{00000000-000C-0000-FFFF-FFFF48000000}" r="D72" connectionId="0">
    <xmlCellPr id="1" xr6:uid="{00000000-0010-0000-4800-000001000000}" uniqueName="1">
      <xmlPr mapId="43" xpath="/ns1:Root/ns1:M1/ns1:Conditions_precedents__CPs__Fulfilled" xmlDataType="double"/>
    </xmlCellPr>
  </singleXmlCell>
  <singleXmlCell id="492" xr6:uid="{00000000-000C-0000-FFFF-FFFF49000000}" r="E72" connectionId="0">
    <xmlCellPr id="1" xr6:uid="{00000000-0010-0000-4900-000001000000}" uniqueName="1">
      <xmlPr mapId="43" xpath="/ns1:Root/ns1:M1/ns1:Conditions_precedents__CPs__Not_fulfilled__but_within_deadline" xmlDataType="double"/>
    </xmlCellPr>
  </singleXmlCell>
  <singleXmlCell id="493" xr6:uid="{00000000-000C-0000-FFFF-FFFF4A000000}" r="F72" connectionId="0">
    <xmlCellPr id="1" xr6:uid="{00000000-0010-0000-4A00-000001000000}" uniqueName="1">
      <xmlPr mapId="43" xpath="/ns1:Root/ns1:M1/ns1:Conditions_precedents__CPs__Not_fulfilled__and_past_the_deadline" xmlDataType="double"/>
    </xmlCellPr>
  </singleXmlCell>
  <singleXmlCell id="494" xr6:uid="{00000000-000C-0000-FFFF-FFFF4B000000}" r="B73" connectionId="0">
    <xmlCellPr id="1" xr6:uid="{00000000-0010-0000-4B00-000001000000}" uniqueName="1">
      <xmlPr mapId="43" xpath="/ns1:Root/ns1:M1/ns1:Time_Bound_Actions__TBAs__" xmlDataType="string"/>
    </xmlCellPr>
  </singleXmlCell>
  <singleXmlCell id="495" xr6:uid="{00000000-000C-0000-FFFF-FFFF4C000000}" r="D73" connectionId="0">
    <xmlCellPr id="1" xr6:uid="{00000000-0010-0000-4C00-000001000000}" uniqueName="1">
      <xmlPr mapId="43" xpath="/ns1:Root/ns1:M1/ns1:Time_Bound_Actions__TBAs__Fulfilled" xmlDataType="double"/>
    </xmlCellPr>
  </singleXmlCell>
  <singleXmlCell id="496" xr6:uid="{00000000-000C-0000-FFFF-FFFF4D000000}" r="E73" connectionId="0">
    <xmlCellPr id="1" xr6:uid="{00000000-0010-0000-4D00-000001000000}" uniqueName="1">
      <xmlPr mapId="43" xpath="/ns1:Root/ns1:M1/ns1:Time_Bound_Actions__TBAs__Not_fulfilled__but_within_deadline" xmlDataType="string"/>
    </xmlCellPr>
  </singleXmlCell>
  <singleXmlCell id="497" xr6:uid="{00000000-000C-0000-FFFF-FFFF4E000000}" r="F73" connectionId="0">
    <xmlCellPr id="1" xr6:uid="{00000000-0010-0000-4E00-000001000000}" uniqueName="1">
      <xmlPr mapId="43" xpath="/ns1:Root/ns1:M1/ns1:Time_Bound_Actions__TBAs__Not_fulfilled__and_past_the_deadline" xmlDataType="double"/>
    </xmlCellPr>
  </singleXmlCell>
  <singleXmlCell id="498" xr6:uid="{00000000-000C-0000-FFFF-FFFF4F000000}" r="C79" connectionId="0">
    <xmlCellPr id="1" xr6:uid="{00000000-0010-0000-4F00-000001000000}" uniqueName="1">
      <xmlPr mapId="43" xpath="/ns1:Root/ns1:M2/ns1:PMU_Planned" xmlDataType="double"/>
    </xmlCellPr>
  </singleXmlCell>
  <singleXmlCell id="499" xr6:uid="{00000000-000C-0000-FFFF-FFFF50000000}" r="D79" connectionId="0">
    <xmlCellPr id="1" xr6:uid="{00000000-0010-0000-5000-000001000000}" uniqueName="1">
      <xmlPr mapId="43" xpath="/ns1:Root/ns1:M2/ns1:PMU_Filled" xmlDataType="double"/>
    </xmlCellPr>
  </singleXmlCell>
  <singleXmlCell id="500" xr6:uid="{00000000-000C-0000-FFFF-FFFF51000000}" r="C84" connectionId="0">
    <xmlCellPr id="1" xr6:uid="{00000000-0010-0000-5100-000001000000}" uniqueName="1">
      <xmlPr mapId="43" xpath="/ns1:Root/ns1:M3/ns1:SRs_Identified" xmlDataType="double"/>
    </xmlCellPr>
  </singleXmlCell>
  <singleXmlCell id="501" xr6:uid="{00000000-000C-0000-FFFF-FFFF52000000}" r="D84" connectionId="0">
    <xmlCellPr id="1" xr6:uid="{00000000-0010-0000-5200-000001000000}" uniqueName="1">
      <xmlPr mapId="43" xpath="/ns1:Root/ns1:M3/ns1:SRs_Assessed" xmlDataType="double"/>
    </xmlCellPr>
  </singleXmlCell>
  <singleXmlCell id="502" xr6:uid="{00000000-000C-0000-FFFF-FFFF53000000}" r="E84" connectionId="0">
    <xmlCellPr id="1" xr6:uid="{00000000-0010-0000-5300-000001000000}" uniqueName="1">
      <xmlPr mapId="43" xpath="/ns1:Root/ns1:M3/ns1:SRs_Approved" xmlDataType="double"/>
    </xmlCellPr>
  </singleXmlCell>
  <singleXmlCell id="503" xr6:uid="{00000000-000C-0000-FFFF-FFFF54000000}" r="F84" connectionId="0">
    <xmlCellPr id="1" xr6:uid="{00000000-0010-0000-5400-000001000000}" uniqueName="1">
      <xmlPr mapId="43" xpath="/ns1:Root/ns1:M3/ns1:SRs_Signed" xmlDataType="double"/>
    </xmlCellPr>
  </singleXmlCell>
  <singleXmlCell id="504" xr6:uid="{00000000-000C-0000-FFFF-FFFF55000000}" r="G84" connectionId="0">
    <xmlCellPr id="1" xr6:uid="{00000000-0010-0000-5500-000001000000}" uniqueName="1">
      <xmlPr mapId="43" xpath="/ns1:Root/ns1:M3/ns1:SRs_Receiving_Funding" xmlDataType="double"/>
    </xmlCellPr>
  </singleXmlCell>
  <singleXmlCell id="506" xr6:uid="{00000000-000C-0000-FFFF-FFFF56000000}" r="C89" connectionId="0">
    <xmlCellPr id="1" xr6:uid="{00000000-0010-0000-5600-000001000000}" uniqueName="1">
      <xmlPr mapId="43" xpath="/ns1:Root/ns1:M4/ns1:SSR_to_SR__IR_____Expected" xmlDataType="string"/>
    </xmlCellPr>
  </singleXmlCell>
  <singleXmlCell id="507" xr6:uid="{00000000-000C-0000-FFFF-FFFF57000000}" r="D89" connectionId="0">
    <xmlCellPr id="1" xr6:uid="{00000000-0010-0000-5700-000001000000}" uniqueName="1">
      <xmlPr mapId="43" xpath="/ns1:Root/ns1:M4/ns1:SSR_to_SR__IR____Received" xmlDataType="string"/>
    </xmlCellPr>
  </singleXmlCell>
  <singleXmlCell id="509" xr6:uid="{00000000-000C-0000-FFFF-FFFF58000000}" r="C90" connectionId="0">
    <xmlCellPr id="1" xr6:uid="{00000000-0010-0000-5800-000001000000}" uniqueName="1">
      <xmlPr mapId="43" xpath="/ns1:Root/ns1:M4/ns1:SRs__IRs__to_PR____Expected" xmlDataType="double"/>
    </xmlCellPr>
  </singleXmlCell>
  <singleXmlCell id="510" xr6:uid="{00000000-000C-0000-FFFF-FFFF59000000}" r="D90" connectionId="0">
    <xmlCellPr id="1" xr6:uid="{00000000-0010-0000-5900-000001000000}" uniqueName="1">
      <xmlPr mapId="43" xpath="/ns1:Root/ns1:M4/ns1:SRs__IRs__to_PR___Received" xmlDataType="double"/>
    </xmlCellPr>
  </singleXmlCell>
  <singleXmlCell id="511" xr6:uid="{00000000-000C-0000-FFFF-FFFF5A000000}" r="C95" connectionId="0">
    <xmlCellPr id="1" xr6:uid="{00000000-0010-0000-5A00-000001000000}" uniqueName="1">
      <xmlPr mapId="43" xpath="/ns1:Root/ns1:M5/ns1:Budget_Approved__P1" xmlDataType="double"/>
    </xmlCellPr>
  </singleXmlCell>
  <singleXmlCell id="512" xr6:uid="{00000000-000C-0000-FFFF-FFFF5B000000}" r="D95" connectionId="0">
    <xmlCellPr id="1" xr6:uid="{00000000-0010-0000-5B00-000001000000}" uniqueName="1">
      <xmlPr mapId="43" xpath="/ns1:Root/ns1:M5/ns1:Budget_Approved__P2" xmlDataType="double"/>
    </xmlCellPr>
  </singleXmlCell>
  <singleXmlCell id="513" xr6:uid="{00000000-000C-0000-FFFF-FFFF5C000000}" r="E95" connectionId="0">
    <xmlCellPr id="1" xr6:uid="{00000000-0010-0000-5C00-000001000000}" uniqueName="1">
      <xmlPr mapId="43" xpath="/ns1:Root/ns1:M5/ns1:Budget_Approved__P3" xmlDataType="double"/>
    </xmlCellPr>
  </singleXmlCell>
  <singleXmlCell id="514" xr6:uid="{00000000-000C-0000-FFFF-FFFF5D000000}" r="F95" connectionId="0">
    <xmlCellPr id="1" xr6:uid="{00000000-0010-0000-5D00-000001000000}" uniqueName="1">
      <xmlPr mapId="43" xpath="/ns1:Root/ns1:M5/ns1:Budget_Approved__P4" xmlDataType="double"/>
    </xmlCellPr>
  </singleXmlCell>
  <singleXmlCell id="515" xr6:uid="{00000000-000C-0000-FFFF-FFFF5E000000}" r="G95" connectionId="0">
    <xmlCellPr id="1" xr6:uid="{00000000-0010-0000-5E00-000001000000}" uniqueName="1">
      <xmlPr mapId="43" xpath="/ns1:Root/ns1:M5/ns1:Budget_Approved__P5" xmlDataType="double"/>
    </xmlCellPr>
  </singleXmlCell>
  <singleXmlCell id="516" xr6:uid="{00000000-000C-0000-FFFF-FFFF5F000000}" r="H95" connectionId="0">
    <xmlCellPr id="1" xr6:uid="{00000000-0010-0000-5F00-000001000000}" uniqueName="1">
      <xmlPr mapId="43" xpath="/ns1:Root/ns1:M5/ns1:Budget_Approved__P6" xmlDataType="double"/>
    </xmlCellPr>
  </singleXmlCell>
  <singleXmlCell id="517" xr6:uid="{00000000-000C-0000-FFFF-FFFF60000000}" r="I95" connectionId="0">
    <xmlCellPr id="1" xr6:uid="{00000000-0010-0000-6000-000001000000}" uniqueName="1">
      <xmlPr mapId="43" xpath="/ns1:Root/ns1:M5/ns1:Budget_Approved__P7" xmlDataType="double"/>
    </xmlCellPr>
  </singleXmlCell>
  <singleXmlCell id="518" xr6:uid="{00000000-000C-0000-FFFF-FFFF61000000}" r="J95" connectionId="0">
    <xmlCellPr id="1" xr6:uid="{00000000-0010-0000-6100-000001000000}" uniqueName="1">
      <xmlPr mapId="43" xpath="/ns1:Root/ns1:M5/ns1:Budget_Approved__P8" xmlDataType="double"/>
    </xmlCellPr>
  </singleXmlCell>
  <singleXmlCell id="519" xr6:uid="{00000000-000C-0000-FFFF-FFFF62000000}" r="K95" connectionId="0">
    <xmlCellPr id="1" xr6:uid="{00000000-0010-0000-6200-000001000000}" uniqueName="1">
      <xmlPr mapId="43" xpath="/ns1:Root/ns1:M5/ns1:Budget_Approved__P9" xmlDataType="double"/>
    </xmlCellPr>
  </singleXmlCell>
  <singleXmlCell id="520" xr6:uid="{00000000-000C-0000-FFFF-FFFF63000000}" r="L95" connectionId="0">
    <xmlCellPr id="1" xr6:uid="{00000000-0010-0000-6300-000001000000}" uniqueName="1">
      <xmlPr mapId="43" xpath="/ns1:Root/ns1:M5/ns1:Budget_Approved__P10" xmlDataType="double"/>
    </xmlCellPr>
  </singleXmlCell>
  <singleXmlCell id="521" xr6:uid="{00000000-000C-0000-FFFF-FFFF64000000}" r="M95" connectionId="0">
    <xmlCellPr id="1" xr6:uid="{00000000-0010-0000-6400-000001000000}" uniqueName="1">
      <xmlPr mapId="43" xpath="/ns1:Root/ns1:M5/ns1:Budget_Approved__P11" xmlDataType="double"/>
    </xmlCellPr>
  </singleXmlCell>
  <singleXmlCell id="522" xr6:uid="{00000000-000C-0000-FFFF-FFFF65000000}" r="N95" connectionId="0">
    <xmlCellPr id="1" xr6:uid="{00000000-0010-0000-6500-000001000000}" uniqueName="1">
      <xmlPr mapId="43" xpath="/ns1:Root/ns1:M5/ns1:Budget_Approved__P12" xmlDataType="double"/>
    </xmlCellPr>
  </singleXmlCell>
  <singleXmlCell id="523" xr6:uid="{00000000-000C-0000-FFFF-FFFF66000000}" r="C96" connectionId="0">
    <xmlCellPr id="1" xr6:uid="{00000000-0010-0000-6600-000001000000}" uniqueName="1">
      <xmlPr mapId="43" xpath="/ns1:Root/ns1:M5/ns1:Obligations_P1" xmlDataType="double"/>
    </xmlCellPr>
  </singleXmlCell>
  <singleXmlCell id="524" xr6:uid="{00000000-000C-0000-FFFF-FFFF67000000}" r="D96" connectionId="0">
    <xmlCellPr id="1" xr6:uid="{00000000-0010-0000-6700-000001000000}" uniqueName="1">
      <xmlPr mapId="43" xpath="/ns1:Root/ns1:M5/ns1:Obligations_P2" xmlDataType="double"/>
    </xmlCellPr>
  </singleXmlCell>
  <singleXmlCell id="525" xr6:uid="{00000000-000C-0000-FFFF-FFFF68000000}" r="E96" connectionId="0">
    <xmlCellPr id="1" xr6:uid="{00000000-0010-0000-6800-000001000000}" uniqueName="1">
      <xmlPr mapId="43" xpath="/ns1:Root/ns1:M5/ns1:Obligations_P3" xmlDataType="double"/>
    </xmlCellPr>
  </singleXmlCell>
  <singleXmlCell id="526" xr6:uid="{00000000-000C-0000-FFFF-FFFF69000000}" r="F96" connectionId="0">
    <xmlCellPr id="1" xr6:uid="{00000000-0010-0000-6900-000001000000}" uniqueName="1">
      <xmlPr mapId="43" xpath="/ns1:Root/ns1:M5/ns1:Obligations_P4" xmlDataType="double"/>
    </xmlCellPr>
  </singleXmlCell>
  <singleXmlCell id="527" xr6:uid="{00000000-000C-0000-FFFF-FFFF6A000000}" r="G96" connectionId="0">
    <xmlCellPr id="1" xr6:uid="{00000000-0010-0000-6A00-000001000000}" uniqueName="1">
      <xmlPr mapId="43" xpath="/ns1:Root/ns1:M5/ns1:Obligations_P5" xmlDataType="double"/>
    </xmlCellPr>
  </singleXmlCell>
  <singleXmlCell id="528" xr6:uid="{00000000-000C-0000-FFFF-FFFF6B000000}" r="H96" connectionId="0">
    <xmlCellPr id="1" xr6:uid="{00000000-0010-0000-6B00-000001000000}" uniqueName="1">
      <xmlPr mapId="43" xpath="/ns1:Root/ns1:M5/ns1:Obligations_P6" xmlDataType="double"/>
    </xmlCellPr>
  </singleXmlCell>
  <singleXmlCell id="529" xr6:uid="{00000000-000C-0000-FFFF-FFFF6C000000}" r="I96" connectionId="0">
    <xmlCellPr id="1" xr6:uid="{00000000-0010-0000-6C00-000001000000}" uniqueName="1">
      <xmlPr mapId="43" xpath="/ns1:Root/ns1:M5/ns1:Obligations_P7" xmlDataType="double"/>
    </xmlCellPr>
  </singleXmlCell>
  <singleXmlCell id="530" xr6:uid="{00000000-000C-0000-FFFF-FFFF6D000000}" r="J96" connectionId="0">
    <xmlCellPr id="1" xr6:uid="{00000000-0010-0000-6D00-000001000000}" uniqueName="1">
      <xmlPr mapId="43" xpath="/ns1:Root/ns1:M5/ns1:Obligations_P8" xmlDataType="double"/>
    </xmlCellPr>
  </singleXmlCell>
  <singleXmlCell id="531" xr6:uid="{00000000-000C-0000-FFFF-FFFF6E000000}" r="K96" connectionId="0">
    <xmlCellPr id="1" xr6:uid="{00000000-0010-0000-6E00-000001000000}" uniqueName="1">
      <xmlPr mapId="43" xpath="/ns1:Root/ns1:M5/ns1:Obligations_P9" xmlDataType="double"/>
    </xmlCellPr>
  </singleXmlCell>
  <singleXmlCell id="532" xr6:uid="{00000000-000C-0000-FFFF-FFFF6F000000}" r="L96" connectionId="0">
    <xmlCellPr id="1" xr6:uid="{00000000-0010-0000-6F00-000001000000}" uniqueName="1">
      <xmlPr mapId="43" xpath="/ns1:Root/ns1:M5/ns1:Obligations_P10" xmlDataType="double"/>
    </xmlCellPr>
  </singleXmlCell>
  <singleXmlCell id="533" xr6:uid="{00000000-000C-0000-FFFF-FFFF70000000}" r="M96" connectionId="0">
    <xmlCellPr id="1" xr6:uid="{00000000-0010-0000-7000-000001000000}" uniqueName="1">
      <xmlPr mapId="43" xpath="/ns1:Root/ns1:M5/ns1:Obligations_P11" xmlDataType="double"/>
    </xmlCellPr>
  </singleXmlCell>
  <singleXmlCell id="534" xr6:uid="{00000000-000C-0000-FFFF-FFFF71000000}" r="N96" connectionId="0">
    <xmlCellPr id="1" xr6:uid="{00000000-0010-0000-7100-000001000000}" uniqueName="1">
      <xmlPr mapId="43" xpath="/ns1:Root/ns1:M5/ns1:Obligations_P12" xmlDataType="double"/>
    </xmlCellPr>
  </singleXmlCell>
  <singleXmlCell id="535" xr6:uid="{00000000-000C-0000-FFFF-FFFF72000000}" r="C97" connectionId="0">
    <xmlCellPr id="1" xr6:uid="{00000000-0010-0000-7200-000001000000}" uniqueName="1">
      <xmlPr mapId="43" xpath="/ns1:Root/ns1:M5/ns1:Expenditures_P1" xmlDataType="double"/>
    </xmlCellPr>
  </singleXmlCell>
  <singleXmlCell id="536" xr6:uid="{00000000-000C-0000-FFFF-FFFF73000000}" r="D97" connectionId="0">
    <xmlCellPr id="1" xr6:uid="{00000000-0010-0000-7300-000001000000}" uniqueName="1">
      <xmlPr mapId="43" xpath="/ns1:Root/ns1:M5/ns1:Expenditures_P2" xmlDataType="double"/>
    </xmlCellPr>
  </singleXmlCell>
  <singleXmlCell id="537" xr6:uid="{00000000-000C-0000-FFFF-FFFF74000000}" r="E97" connectionId="0">
    <xmlCellPr id="1" xr6:uid="{00000000-0010-0000-7400-000001000000}" uniqueName="1">
      <xmlPr mapId="43" xpath="/ns1:Root/ns1:M5/ns1:Expenditures_P3" xmlDataType="double"/>
    </xmlCellPr>
  </singleXmlCell>
  <singleXmlCell id="538" xr6:uid="{00000000-000C-0000-FFFF-FFFF75000000}" r="F97" connectionId="0">
    <xmlCellPr id="1" xr6:uid="{00000000-0010-0000-7500-000001000000}" uniqueName="1">
      <xmlPr mapId="43" xpath="/ns1:Root/ns1:M5/ns1:Expenditures_P4" xmlDataType="double"/>
    </xmlCellPr>
  </singleXmlCell>
  <singleXmlCell id="539" xr6:uid="{00000000-000C-0000-FFFF-FFFF76000000}" r="G97" connectionId="0">
    <xmlCellPr id="1" xr6:uid="{00000000-0010-0000-7600-000001000000}" uniqueName="1">
      <xmlPr mapId="43" xpath="/ns1:Root/ns1:M5/ns1:Expenditures_P5" xmlDataType="double"/>
    </xmlCellPr>
  </singleXmlCell>
  <singleXmlCell id="540" xr6:uid="{00000000-000C-0000-FFFF-FFFF77000000}" r="H97" connectionId="0">
    <xmlCellPr id="1" xr6:uid="{00000000-0010-0000-7700-000001000000}" uniqueName="1">
      <xmlPr mapId="43" xpath="/ns1:Root/ns1:M5/ns1:Expenditures_P6" xmlDataType="double"/>
    </xmlCellPr>
  </singleXmlCell>
  <singleXmlCell id="541" xr6:uid="{00000000-000C-0000-FFFF-FFFF78000000}" r="I97" connectionId="0">
    <xmlCellPr id="1" xr6:uid="{00000000-0010-0000-7800-000001000000}" uniqueName="1">
      <xmlPr mapId="43" xpath="/ns1:Root/ns1:M5/ns1:Expenditures_P7" xmlDataType="double"/>
    </xmlCellPr>
  </singleXmlCell>
  <singleXmlCell id="542" xr6:uid="{00000000-000C-0000-FFFF-FFFF79000000}" r="J97" connectionId="0">
    <xmlCellPr id="1" xr6:uid="{00000000-0010-0000-7900-000001000000}" uniqueName="1">
      <xmlPr mapId="43" xpath="/ns1:Root/ns1:M5/ns1:Expenditures_P8" xmlDataType="double"/>
    </xmlCellPr>
  </singleXmlCell>
  <singleXmlCell id="543" xr6:uid="{00000000-000C-0000-FFFF-FFFF7A000000}" r="K97" connectionId="0">
    <xmlCellPr id="1" xr6:uid="{00000000-0010-0000-7A00-000001000000}" uniqueName="1">
      <xmlPr mapId="43" xpath="/ns1:Root/ns1:M5/ns1:Expenditures_P9" xmlDataType="double"/>
    </xmlCellPr>
  </singleXmlCell>
  <singleXmlCell id="544" xr6:uid="{00000000-000C-0000-FFFF-FFFF7B000000}" r="L97" connectionId="0">
    <xmlCellPr id="1" xr6:uid="{00000000-0010-0000-7B00-000001000000}" uniqueName="1">
      <xmlPr mapId="43" xpath="/ns1:Root/ns1:M5/ns1:Expenditures_P10" xmlDataType="double"/>
    </xmlCellPr>
  </singleXmlCell>
  <singleXmlCell id="545" xr6:uid="{00000000-000C-0000-FFFF-FFFF7C000000}" r="M97" connectionId="0">
    <xmlCellPr id="1" xr6:uid="{00000000-0010-0000-7C00-000001000000}" uniqueName="1">
      <xmlPr mapId="43" xpath="/ns1:Root/ns1:M5/ns1:Expenditures_P11" xmlDataType="double"/>
    </xmlCellPr>
  </singleXmlCell>
  <singleXmlCell id="546" xr6:uid="{00000000-000C-0000-FFFF-FFFF7D000000}" r="N97" connectionId="0">
    <xmlCellPr id="1" xr6:uid="{00000000-0010-0000-7D00-000001000000}" uniqueName="1">
      <xmlPr mapId="43" xpath="/ns1:Root/ns1:M5/ns1:Expenditures_P12" xmlDataType="double"/>
    </xmlCellPr>
  </singleXmlCell>
  <singleXmlCell id="547" xr6:uid="{00000000-000C-0000-FFFF-FFFF7E000000}" r="C108" connectionId="0">
    <xmlCellPr id="1" xr6:uid="{00000000-0010-0000-7E00-000001000000}" uniqueName="1">
      <xmlPr mapId="43" xpath="/ns1:Root/ns1:M6/ns1:HIV___AIDS_Products" xmlDataType="string"/>
    </xmlCellPr>
  </singleXmlCell>
  <singleXmlCell id="548" xr6:uid="{00000000-000C-0000-FFFF-FFFF7F000000}" r="D108" connectionId="0">
    <xmlCellPr id="1" xr6:uid="{00000000-0010-0000-7F00-000001000000}" uniqueName="1">
      <xmlPr mapId="43" xpath="/ns1:Root/ns1:M6/ns1:HIV___AIDS__1__Number_of_tablets_per_patient_per_day__Review_country_treatment_guidelines_" xmlDataType="double"/>
    </xmlCellPr>
  </singleXmlCell>
  <singleXmlCell id="549" xr6:uid="{00000000-000C-0000-FFFF-FFFF80000000}" r="F108" connectionId="0">
    <xmlCellPr id="1" xr6:uid="{00000000-0010-0000-8000-000001000000}" uniqueName="1">
      <xmlPr mapId="43" xpath="/ns1:Root/ns1:M6/ns1:HIV___AIDS__3__Total_patients_in_treatment" xmlDataType="double"/>
    </xmlCellPr>
  </singleXmlCell>
  <singleXmlCell id="550" xr6:uid="{00000000-000C-0000-FFFF-FFFF81000000}" r="H108" connectionId="0">
    <xmlCellPr id="1" xr6:uid="{00000000-0010-0000-8100-000001000000}" uniqueName="1">
      <xmlPr mapId="43" xpath="/ns1:Root/ns1:M6/ns1:HIV___AIDS__5__Current_stock_in_central_warehouse__that_does_not_expire_within_the_next_3_months_" xmlDataType="double"/>
    </xmlCellPr>
  </singleXmlCell>
  <singleXmlCell id="551" xr6:uid="{00000000-000C-0000-FFFF-FFFF82000000}" r="J108" connectionId="0">
    <xmlCellPr id="1" xr6:uid="{00000000-0010-0000-8200-000001000000}" uniqueName="1">
      <xmlPr mapId="43" xpath="/ns1:Root/ns1:M6/ns1:HIV___AIDS__7__Level_of_safety_stock__expressed_in_months_and_defined_by_country__" xmlDataType="double"/>
    </xmlCellPr>
  </singleXmlCell>
  <singleXmlCell id="552" xr6:uid="{00000000-000C-0000-FFFF-FFFF83000000}" r="C109" connectionId="0">
    <xmlCellPr id="1" xr6:uid="{00000000-0010-0000-8300-000001000000}" uniqueName="1">
      <xmlPr mapId="43" xpath="/ns1:Root/ns1:M6/ns1:_Products_1" xmlDataType="string"/>
    </xmlCellPr>
  </singleXmlCell>
  <singleXmlCell id="553" xr6:uid="{00000000-000C-0000-FFFF-FFFF84000000}" r="D109" connectionId="0">
    <xmlCellPr id="1" xr6:uid="{00000000-0010-0000-8400-000001000000}" uniqueName="1">
      <xmlPr mapId="43" xpath="/ns1:Root/ns1:M6/ns1:__1__Number_of_tablets_per_patient_per_day__Review_country_treatment_guidelines__1" xmlDataType="double"/>
    </xmlCellPr>
  </singleXmlCell>
  <singleXmlCell id="554" xr6:uid="{00000000-000C-0000-FFFF-FFFF85000000}" r="F109" connectionId="0">
    <xmlCellPr id="1" xr6:uid="{00000000-0010-0000-8500-000001000000}" uniqueName="1">
      <xmlPr mapId="43" xpath="/ns1:Root/ns1:M6/ns1:__3__Total_patients_in_treatment_1" xmlDataType="double"/>
    </xmlCellPr>
  </singleXmlCell>
  <singleXmlCell id="555" xr6:uid="{00000000-000C-0000-FFFF-FFFF86000000}" r="H109" connectionId="0">
    <xmlCellPr id="1" xr6:uid="{00000000-0010-0000-8600-000001000000}" uniqueName="1">
      <xmlPr mapId="43" xpath="/ns1:Root/ns1:M6/ns1:__5__Current_stock_in_central_warehouse__that_does_not_expire_within_the_next_3_months__1" xmlDataType="double"/>
    </xmlCellPr>
  </singleXmlCell>
  <singleXmlCell id="556" xr6:uid="{00000000-000C-0000-FFFF-FFFF87000000}" r="J109" connectionId="0">
    <xmlCellPr id="1" xr6:uid="{00000000-0010-0000-8700-000001000000}" uniqueName="1">
      <xmlPr mapId="43" xpath="/ns1:Root/ns1:M6/ns1:__7__Level_of_safety_stock__expressed_in_months_and_defined_by_country___1" xmlDataType="double"/>
    </xmlCellPr>
  </singleXmlCell>
  <singleXmlCell id="557" xr6:uid="{00000000-000C-0000-FFFF-FFFF88000000}" r="C110" connectionId="0">
    <xmlCellPr id="1" xr6:uid="{00000000-0010-0000-8800-000001000000}" uniqueName="1">
      <xmlPr mapId="43" xpath="/ns1:Root/ns1:M6/ns1:_Products_2" xmlDataType="string"/>
    </xmlCellPr>
  </singleXmlCell>
  <singleXmlCell id="558" xr6:uid="{00000000-000C-0000-FFFF-FFFF89000000}" r="D110" connectionId="0">
    <xmlCellPr id="1" xr6:uid="{00000000-0010-0000-8900-000001000000}" uniqueName="1">
      <xmlPr mapId="43" xpath="/ns1:Root/ns1:M6/ns1:__1__Number_of_tablets_per_patient_per_day__Review_country_treatment_guidelines__2" xmlDataType="double"/>
    </xmlCellPr>
  </singleXmlCell>
  <singleXmlCell id="559" xr6:uid="{00000000-000C-0000-FFFF-FFFF8A000000}" r="F110" connectionId="0">
    <xmlCellPr id="1" xr6:uid="{00000000-0010-0000-8A00-000001000000}" uniqueName="1">
      <xmlPr mapId="43" xpath="/ns1:Root/ns1:M6/ns1:__3__Total_patients_in_treatment_2" xmlDataType="double"/>
    </xmlCellPr>
  </singleXmlCell>
  <singleXmlCell id="560" xr6:uid="{00000000-000C-0000-FFFF-FFFF8B000000}" r="H110" connectionId="0">
    <xmlCellPr id="1" xr6:uid="{00000000-0010-0000-8B00-000001000000}" uniqueName="1">
      <xmlPr mapId="43" xpath="/ns1:Root/ns1:M6/ns1:__5__Current_stock_in_central_warehouse__that_does_not_expire_within_the_next_3_months__2" xmlDataType="double"/>
    </xmlCellPr>
  </singleXmlCell>
  <singleXmlCell id="561" xr6:uid="{00000000-000C-0000-FFFF-FFFF8C000000}" r="J110" connectionId="0">
    <xmlCellPr id="1" xr6:uid="{00000000-0010-0000-8C00-000001000000}" uniqueName="1">
      <xmlPr mapId="43" xpath="/ns1:Root/ns1:M6/ns1:__7__Level_of_safety_stock__expressed_in_months_and_defined_by_country___2" xmlDataType="double"/>
    </xmlCellPr>
  </singleXmlCell>
  <singleXmlCell id="562" xr6:uid="{00000000-000C-0000-FFFF-FFFF8D000000}" r="C111" connectionId="0">
    <xmlCellPr id="1" xr6:uid="{00000000-0010-0000-8D00-000001000000}" uniqueName="1">
      <xmlPr mapId="43" xpath="/ns1:Root/ns1:M6/ns1:_Products" xmlDataType="string"/>
    </xmlCellPr>
  </singleXmlCell>
  <singleXmlCell id="563" xr6:uid="{00000000-000C-0000-FFFF-FFFF8E000000}" r="D111" connectionId="0">
    <xmlCellPr id="1" xr6:uid="{00000000-0010-0000-8E00-000001000000}" uniqueName="1">
      <xmlPr mapId="43" xpath="/ns1:Root/ns1:M6/ns1:__1__Number_of_tablets_per_patient_per_day__Review_country_treatment_guidelines_" xmlDataType="double"/>
    </xmlCellPr>
  </singleXmlCell>
  <singleXmlCell id="564" xr6:uid="{00000000-000C-0000-FFFF-FFFF8F000000}" r="F111" connectionId="0">
    <xmlCellPr id="1" xr6:uid="{00000000-0010-0000-8F00-000001000000}" uniqueName="1">
      <xmlPr mapId="43" xpath="/ns1:Root/ns1:M6/ns1:__3__Total_patients_in_treatment" xmlDataType="double"/>
    </xmlCellPr>
  </singleXmlCell>
  <singleXmlCell id="565" xr6:uid="{00000000-000C-0000-FFFF-FFFF90000000}" r="H111" connectionId="0">
    <xmlCellPr id="1" xr6:uid="{00000000-0010-0000-9000-000001000000}" uniqueName="1">
      <xmlPr mapId="43" xpath="/ns1:Root/ns1:M6/ns1:__5__Current_stock_in_central_warehouse__that_does_not_expire_within_the_next_3_months_" xmlDataType="double"/>
    </xmlCellPr>
  </singleXmlCell>
  <singleXmlCell id="566" xr6:uid="{00000000-000C-0000-FFFF-FFFF91000000}" r="J111" connectionId="0">
    <xmlCellPr id="1" xr6:uid="{00000000-0010-0000-9100-000001000000}" uniqueName="1">
      <xmlPr mapId="43" xpath="/ns1:Root/ns1:M6/ns1:__7__Level_of_safety_stock__expressed_in_months_and_defined_by_country__" xmlDataType="double"/>
    </xmlCellPr>
  </singleXmlCell>
  <singleXmlCell id="567" xr6:uid="{00000000-000C-0000-FFFF-FFFF92000000}" r="H118" connectionId="0">
    <xmlCellPr id="1" xr6:uid="{00000000-0010-0000-9200-000001000000}" uniqueName="1">
      <xmlPr mapId="43" xpath="/ns1:Root/ns1:Prog/ns1:Target_P1_1" xmlDataType="double"/>
    </xmlCellPr>
  </singleXmlCell>
  <singleXmlCell id="568" xr6:uid="{00000000-000C-0000-FFFF-FFFF93000000}" r="I118" connectionId="0">
    <xmlCellPr id="1" xr6:uid="{00000000-0010-0000-9300-000001000000}" uniqueName="1">
      <xmlPr mapId="43" xpath="/ns1:Root/ns1:Prog/ns1:Target_P2_1" xmlDataType="double"/>
    </xmlCellPr>
  </singleXmlCell>
  <singleXmlCell id="569" xr6:uid="{00000000-000C-0000-FFFF-FFFF94000000}" r="J118" connectionId="0">
    <xmlCellPr id="1" xr6:uid="{00000000-0010-0000-9400-000001000000}" uniqueName="1">
      <xmlPr mapId="43" xpath="/ns1:Root/ns1:Prog/ns1:Target_P3_1" xmlDataType="double"/>
    </xmlCellPr>
  </singleXmlCell>
  <singleXmlCell id="570" xr6:uid="{00000000-000C-0000-FFFF-FFFF95000000}" r="K118" connectionId="0">
    <xmlCellPr id="1" xr6:uid="{00000000-0010-0000-9500-000001000000}" uniqueName="1">
      <xmlPr mapId="43" xpath="/ns1:Root/ns1:Prog/ns1:Target_P4_1" xmlDataType="double"/>
    </xmlCellPr>
  </singleXmlCell>
  <singleXmlCell id="571" xr6:uid="{00000000-000C-0000-FFFF-FFFF96000000}" r="L118" connectionId="0">
    <xmlCellPr id="1" xr6:uid="{00000000-0010-0000-9600-000001000000}" uniqueName="1">
      <xmlPr mapId="43" xpath="/ns1:Root/ns1:Prog/ns1:Target_P5_1" xmlDataType="double"/>
    </xmlCellPr>
  </singleXmlCell>
  <singleXmlCell id="572" xr6:uid="{00000000-000C-0000-FFFF-FFFF97000000}" r="M118" connectionId="0">
    <xmlCellPr id="1" xr6:uid="{00000000-0010-0000-9700-000001000000}" uniqueName="1">
      <xmlPr mapId="43" xpath="/ns1:Root/ns1:Prog/ns1:Target_P6_1" xmlDataType="double"/>
    </xmlCellPr>
  </singleXmlCell>
  <singleXmlCell id="573" xr6:uid="{00000000-000C-0000-FFFF-FFFF98000000}" r="N118" connectionId="0">
    <xmlCellPr id="1" xr6:uid="{00000000-0010-0000-9800-000001000000}" uniqueName="1">
      <xmlPr mapId="43" xpath="/ns1:Root/ns1:Prog/ns1:Target_P7_1" xmlDataType="double"/>
    </xmlCellPr>
  </singleXmlCell>
  <singleXmlCell id="574" xr6:uid="{00000000-000C-0000-FFFF-FFFF99000000}" r="O118" connectionId="0">
    <xmlCellPr id="1" xr6:uid="{00000000-0010-0000-9900-000001000000}" uniqueName="1">
      <xmlPr mapId="43" xpath="/ns1:Root/ns1:Prog/ns1:Target_P8_1" xmlDataType="double"/>
    </xmlCellPr>
  </singleXmlCell>
  <singleXmlCell id="575" xr6:uid="{00000000-000C-0000-FFFF-FFFF9A000000}" r="P118" connectionId="0">
    <xmlCellPr id="1" xr6:uid="{00000000-0010-0000-9A00-000001000000}" uniqueName="1">
      <xmlPr mapId="43" xpath="/ns1:Root/ns1:Prog/ns1:Target_P9_1" xmlDataType="double"/>
    </xmlCellPr>
  </singleXmlCell>
  <singleXmlCell id="576" xr6:uid="{00000000-000C-0000-FFFF-FFFF9B000000}" r="Q118" connectionId="0">
    <xmlCellPr id="1" xr6:uid="{00000000-0010-0000-9B00-000001000000}" uniqueName="1">
      <xmlPr mapId="43" xpath="/ns1:Root/ns1:Prog/ns1:Target_P10_1" xmlDataType="double"/>
    </xmlCellPr>
  </singleXmlCell>
  <singleXmlCell id="577" xr6:uid="{00000000-000C-0000-FFFF-FFFF9C000000}" r="R118" connectionId="0">
    <xmlCellPr id="1" xr6:uid="{00000000-0010-0000-9C00-000001000000}" uniqueName="1">
      <xmlPr mapId="43" xpath="/ns1:Root/ns1:Prog/ns1:Target_P11_1" xmlDataType="double"/>
    </xmlCellPr>
  </singleXmlCell>
  <singleXmlCell id="578" xr6:uid="{00000000-000C-0000-FFFF-FFFF9D000000}" r="S118" connectionId="0">
    <xmlCellPr id="1" xr6:uid="{00000000-0010-0000-9D00-000001000000}" uniqueName="1">
      <xmlPr mapId="43" xpath="/ns1:Root/ns1:Prog/ns1:Target_P12_1" xmlDataType="double"/>
    </xmlCellPr>
  </singleXmlCell>
  <singleXmlCell id="579" xr6:uid="{00000000-000C-0000-FFFF-FFFF9E000000}" r="H119" connectionId="0">
    <xmlCellPr id="1" xr6:uid="{00000000-0010-0000-9E00-000001000000}" uniqueName="1">
      <xmlPr mapId="43" xpath="/ns1:Root/ns1:Prog/ns1:Achieved__P1_1" xmlDataType="double"/>
    </xmlCellPr>
  </singleXmlCell>
  <singleXmlCell id="580" xr6:uid="{00000000-000C-0000-FFFF-FFFF9F000000}" r="I119" connectionId="0">
    <xmlCellPr id="1" xr6:uid="{00000000-0010-0000-9F00-000001000000}" uniqueName="1">
      <xmlPr mapId="43" xpath="/ns1:Root/ns1:Prog/ns1:Achieved__P2_1" xmlDataType="double"/>
    </xmlCellPr>
  </singleXmlCell>
  <singleXmlCell id="581" xr6:uid="{00000000-000C-0000-FFFF-FFFFA0000000}" r="J119" connectionId="0">
    <xmlCellPr id="1" xr6:uid="{00000000-0010-0000-A000-000001000000}" uniqueName="1">
      <xmlPr mapId="43" xpath="/ns1:Root/ns1:Prog/ns1:Achieved__P3_1" xmlDataType="double"/>
    </xmlCellPr>
  </singleXmlCell>
  <singleXmlCell id="582" xr6:uid="{00000000-000C-0000-FFFF-FFFFA1000000}" r="K119" connectionId="0">
    <xmlCellPr id="1" xr6:uid="{00000000-0010-0000-A100-000001000000}" uniqueName="1">
      <xmlPr mapId="43" xpath="/ns1:Root/ns1:Prog/ns1:Achieved__P4_1" xmlDataType="double"/>
    </xmlCellPr>
  </singleXmlCell>
  <singleXmlCell id="583" xr6:uid="{00000000-000C-0000-FFFF-FFFFA2000000}" r="L119" connectionId="0">
    <xmlCellPr id="1" xr6:uid="{00000000-0010-0000-A200-000001000000}" uniqueName="1">
      <xmlPr mapId="43" xpath="/ns1:Root/ns1:Prog/ns1:Achieved__P5_1" xmlDataType="string"/>
    </xmlCellPr>
  </singleXmlCell>
  <singleXmlCell id="584" xr6:uid="{00000000-000C-0000-FFFF-FFFFA3000000}" r="M119" connectionId="0">
    <xmlCellPr id="1" xr6:uid="{00000000-0010-0000-A300-000001000000}" uniqueName="1">
      <xmlPr mapId="43" xpath="/ns1:Root/ns1:Prog/ns1:Achieved__P6_1" xmlDataType="string"/>
    </xmlCellPr>
  </singleXmlCell>
  <singleXmlCell id="585" xr6:uid="{00000000-000C-0000-FFFF-FFFFA4000000}" r="N119" connectionId="0">
    <xmlCellPr id="1" xr6:uid="{00000000-0010-0000-A400-000001000000}" uniqueName="1">
      <xmlPr mapId="43" xpath="/ns1:Root/ns1:Prog/ns1:Achieved__P7_1" xmlDataType="string"/>
    </xmlCellPr>
  </singleXmlCell>
  <singleXmlCell id="586" xr6:uid="{00000000-000C-0000-FFFF-FFFFA5000000}" r="O119" connectionId="0">
    <xmlCellPr id="1" xr6:uid="{00000000-0010-0000-A500-000001000000}" uniqueName="1">
      <xmlPr mapId="43" xpath="/ns1:Root/ns1:Prog/ns1:Achieved__P8_1" xmlDataType="string"/>
    </xmlCellPr>
  </singleXmlCell>
  <singleXmlCell id="587" xr6:uid="{00000000-000C-0000-FFFF-FFFFA6000000}" r="P119" connectionId="0">
    <xmlCellPr id="1" xr6:uid="{00000000-0010-0000-A600-000001000000}" uniqueName="1">
      <xmlPr mapId="43" xpath="/ns1:Root/ns1:Prog/ns1:Achieved__P9_1" xmlDataType="string"/>
    </xmlCellPr>
  </singleXmlCell>
  <singleXmlCell id="588" xr6:uid="{00000000-000C-0000-FFFF-FFFFA7000000}" r="Q119" connectionId="0">
    <xmlCellPr id="1" xr6:uid="{00000000-0010-0000-A700-000001000000}" uniqueName="1">
      <xmlPr mapId="43" xpath="/ns1:Root/ns1:Prog/ns1:Achieved__P10_1" xmlDataType="string"/>
    </xmlCellPr>
  </singleXmlCell>
  <singleXmlCell id="589" xr6:uid="{00000000-000C-0000-FFFF-FFFFA8000000}" r="R119" connectionId="0">
    <xmlCellPr id="1" xr6:uid="{00000000-0010-0000-A800-000001000000}" uniqueName="1">
      <xmlPr mapId="43" xpath="/ns1:Root/ns1:Prog/ns1:Achieved__P11_1" xmlDataType="string"/>
    </xmlCellPr>
  </singleXmlCell>
  <singleXmlCell id="590" xr6:uid="{00000000-000C-0000-FFFF-FFFFA9000000}" r="S119" connectionId="0">
    <xmlCellPr id="1" xr6:uid="{00000000-0010-0000-A900-000001000000}" uniqueName="1">
      <xmlPr mapId="43" xpath="/ns1:Root/ns1:Prog/ns1:Achieved__P12_1" xmlDataType="string"/>
    </xmlCellPr>
  </singleXmlCell>
  <singleXmlCell id="591" xr6:uid="{00000000-000C-0000-FFFF-FFFFAA000000}" r="H120" connectionId="0">
    <xmlCellPr id="1" xr6:uid="{00000000-0010-0000-AA00-000001000000}" uniqueName="1">
      <xmlPr mapId="43" xpath="/ns1:Root/ns1:Prog/ns1:Target_P1_2" xmlDataType="double"/>
    </xmlCellPr>
  </singleXmlCell>
  <singleXmlCell id="592" xr6:uid="{00000000-000C-0000-FFFF-FFFFAB000000}" r="I120" connectionId="0">
    <xmlCellPr id="1" xr6:uid="{00000000-0010-0000-AB00-000001000000}" uniqueName="1">
      <xmlPr mapId="43" xpath="/ns1:Root/ns1:Prog/ns1:Target_P2_2" xmlDataType="double"/>
    </xmlCellPr>
  </singleXmlCell>
  <singleXmlCell id="593" xr6:uid="{00000000-000C-0000-FFFF-FFFFAC000000}" r="J120" connectionId="0">
    <xmlCellPr id="1" xr6:uid="{00000000-0010-0000-AC00-000001000000}" uniqueName="1">
      <xmlPr mapId="43" xpath="/ns1:Root/ns1:Prog/ns1:Target_P3_2" xmlDataType="double"/>
    </xmlCellPr>
  </singleXmlCell>
  <singleXmlCell id="594" xr6:uid="{00000000-000C-0000-FFFF-FFFFAD000000}" r="L120" connectionId="0">
    <xmlCellPr id="1" xr6:uid="{00000000-0010-0000-AD00-000001000000}" uniqueName="1">
      <xmlPr mapId="43" xpath="/ns1:Root/ns1:Prog/ns1:Target_P5_2" xmlDataType="double"/>
    </xmlCellPr>
  </singleXmlCell>
  <singleXmlCell id="595" xr6:uid="{00000000-000C-0000-FFFF-FFFFAE000000}" r="M120" connectionId="0">
    <xmlCellPr id="1" xr6:uid="{00000000-0010-0000-AE00-000001000000}" uniqueName="1">
      <xmlPr mapId="43" xpath="/ns1:Root/ns1:Prog/ns1:Target_P6_2" xmlDataType="double"/>
    </xmlCellPr>
  </singleXmlCell>
  <singleXmlCell id="596" xr6:uid="{00000000-000C-0000-FFFF-FFFFAF000000}" r="N120" connectionId="0">
    <xmlCellPr id="1" xr6:uid="{00000000-0010-0000-AF00-000001000000}" uniqueName="1">
      <xmlPr mapId="43" xpath="/ns1:Root/ns1:Prog/ns1:Target_P7_2" xmlDataType="double"/>
    </xmlCellPr>
  </singleXmlCell>
  <singleXmlCell id="597" xr6:uid="{00000000-000C-0000-FFFF-FFFFB0000000}" r="O120" connectionId="0">
    <xmlCellPr id="1" xr6:uid="{00000000-0010-0000-B000-000001000000}" uniqueName="1">
      <xmlPr mapId="43" xpath="/ns1:Root/ns1:Prog/ns1:Target_P8_2" xmlDataType="double"/>
    </xmlCellPr>
  </singleXmlCell>
  <singleXmlCell id="598" xr6:uid="{00000000-000C-0000-FFFF-FFFFB1000000}" r="P120" connectionId="0">
    <xmlCellPr id="1" xr6:uid="{00000000-0010-0000-B100-000001000000}" uniqueName="1">
      <xmlPr mapId="43" xpath="/ns1:Root/ns1:Prog/ns1:Target_P9_2" xmlDataType="double"/>
    </xmlCellPr>
  </singleXmlCell>
  <singleXmlCell id="599" xr6:uid="{00000000-000C-0000-FFFF-FFFFB2000000}" r="Q120" connectionId="0">
    <xmlCellPr id="1" xr6:uid="{00000000-0010-0000-B200-000001000000}" uniqueName="1">
      <xmlPr mapId="43" xpath="/ns1:Root/ns1:Prog/ns1:Target_P10_2" xmlDataType="double"/>
    </xmlCellPr>
  </singleXmlCell>
  <singleXmlCell id="600" xr6:uid="{00000000-000C-0000-FFFF-FFFFB3000000}" r="R120" connectionId="0">
    <xmlCellPr id="1" xr6:uid="{00000000-0010-0000-B300-000001000000}" uniqueName="1">
      <xmlPr mapId="43" xpath="/ns1:Root/ns1:Prog/ns1:Target_P11_2" xmlDataType="double"/>
    </xmlCellPr>
  </singleXmlCell>
  <singleXmlCell id="601" xr6:uid="{00000000-000C-0000-FFFF-FFFFB4000000}" r="S120" connectionId="0">
    <xmlCellPr id="1" xr6:uid="{00000000-0010-0000-B400-000001000000}" uniqueName="1">
      <xmlPr mapId="43" xpath="/ns1:Root/ns1:Prog/ns1:Target_P12_2" xmlDataType="double"/>
    </xmlCellPr>
  </singleXmlCell>
  <singleXmlCell id="602" xr6:uid="{00000000-000C-0000-FFFF-FFFFB5000000}" r="H121" connectionId="0">
    <xmlCellPr id="1" xr6:uid="{00000000-0010-0000-B500-000001000000}" uniqueName="1">
      <xmlPr mapId="43" xpath="/ns1:Root/ns1:Prog/ns1:Achieved__P1_2" xmlDataType="double"/>
    </xmlCellPr>
  </singleXmlCell>
  <singleXmlCell id="603" xr6:uid="{00000000-000C-0000-FFFF-FFFFB6000000}" r="I121" connectionId="0">
    <xmlCellPr id="1" xr6:uid="{00000000-0010-0000-B600-000001000000}" uniqueName="1">
      <xmlPr mapId="43" xpath="/ns1:Root/ns1:Prog/ns1:Achieved__P2_2" xmlDataType="double"/>
    </xmlCellPr>
  </singleXmlCell>
  <singleXmlCell id="604" xr6:uid="{00000000-000C-0000-FFFF-FFFFB7000000}" r="J121" connectionId="0">
    <xmlCellPr id="1" xr6:uid="{00000000-0010-0000-B700-000001000000}" uniqueName="1">
      <xmlPr mapId="43" xpath="/ns1:Root/ns1:Prog/ns1:Achieved__P3_2" xmlDataType="double"/>
    </xmlCellPr>
  </singleXmlCell>
  <singleXmlCell id="605" xr6:uid="{00000000-000C-0000-FFFF-FFFFB8000000}" r="K121" connectionId="0">
    <xmlCellPr id="1" xr6:uid="{00000000-0010-0000-B800-000001000000}" uniqueName="1">
      <xmlPr mapId="43" xpath="/ns1:Root/ns1:Prog/ns1:Achieved__P4_2" xmlDataType="double"/>
    </xmlCellPr>
  </singleXmlCell>
  <singleXmlCell id="606" xr6:uid="{00000000-000C-0000-FFFF-FFFFB9000000}" r="L121" connectionId="0">
    <xmlCellPr id="1" xr6:uid="{00000000-0010-0000-B900-000001000000}" uniqueName="1">
      <xmlPr mapId="43" xpath="/ns1:Root/ns1:Prog/ns1:Achieved__P5_2" xmlDataType="string"/>
    </xmlCellPr>
  </singleXmlCell>
  <singleXmlCell id="607" xr6:uid="{00000000-000C-0000-FFFF-FFFFBA000000}" r="M121" connectionId="0">
    <xmlCellPr id="1" xr6:uid="{00000000-0010-0000-BA00-000001000000}" uniqueName="1">
      <xmlPr mapId="43" xpath="/ns1:Root/ns1:Prog/ns1:Achieved__P6_2" xmlDataType="string"/>
    </xmlCellPr>
  </singleXmlCell>
  <singleXmlCell id="608" xr6:uid="{00000000-000C-0000-FFFF-FFFFBB000000}" r="N121" connectionId="0">
    <xmlCellPr id="1" xr6:uid="{00000000-0010-0000-BB00-000001000000}" uniqueName="1">
      <xmlPr mapId="43" xpath="/ns1:Root/ns1:Prog/ns1:Achieved__P7_2" xmlDataType="string"/>
    </xmlCellPr>
  </singleXmlCell>
  <singleXmlCell id="609" xr6:uid="{00000000-000C-0000-FFFF-FFFFBC000000}" r="O121" connectionId="0">
    <xmlCellPr id="1" xr6:uid="{00000000-0010-0000-BC00-000001000000}" uniqueName="1">
      <xmlPr mapId="43" xpath="/ns1:Root/ns1:Prog/ns1:Achieved__P8_2" xmlDataType="string"/>
    </xmlCellPr>
  </singleXmlCell>
  <singleXmlCell id="610" xr6:uid="{00000000-000C-0000-FFFF-FFFFBD000000}" r="P121" connectionId="0">
    <xmlCellPr id="1" xr6:uid="{00000000-0010-0000-BD00-000001000000}" uniqueName="1">
      <xmlPr mapId="43" xpath="/ns1:Root/ns1:Prog/ns1:Achieved__P9_2" xmlDataType="string"/>
    </xmlCellPr>
  </singleXmlCell>
  <singleXmlCell id="611" xr6:uid="{00000000-000C-0000-FFFF-FFFFBE000000}" r="Q121" connectionId="0">
    <xmlCellPr id="1" xr6:uid="{00000000-0010-0000-BE00-000001000000}" uniqueName="1">
      <xmlPr mapId="43" xpath="/ns1:Root/ns1:Prog/ns1:Achieved__P10_2" xmlDataType="string"/>
    </xmlCellPr>
  </singleXmlCell>
  <singleXmlCell id="612" xr6:uid="{00000000-000C-0000-FFFF-FFFFBF000000}" r="R121" connectionId="0">
    <xmlCellPr id="1" xr6:uid="{00000000-0010-0000-BF00-000001000000}" uniqueName="1">
      <xmlPr mapId="43" xpath="/ns1:Root/ns1:Prog/ns1:Achieved__P11_2" xmlDataType="string"/>
    </xmlCellPr>
  </singleXmlCell>
  <singleXmlCell id="613" xr6:uid="{00000000-000C-0000-FFFF-FFFFC0000000}" r="S121" connectionId="0">
    <xmlCellPr id="1" xr6:uid="{00000000-0010-0000-C000-000001000000}" uniqueName="1">
      <xmlPr mapId="43" xpath="/ns1:Root/ns1:Prog/ns1:Achieved__P12_2" xmlDataType="string"/>
    </xmlCellPr>
  </singleXmlCell>
  <singleXmlCell id="614" xr6:uid="{00000000-000C-0000-FFFF-FFFFC1000000}" r="H122" connectionId="0">
    <xmlCellPr id="1" xr6:uid="{00000000-0010-0000-C100-000001000000}" uniqueName="1">
      <xmlPr mapId="43" xpath="/ns1:Root/ns1:Prog/ns1:Target_P1_3" xmlDataType="double"/>
    </xmlCellPr>
  </singleXmlCell>
  <singleXmlCell id="615" xr6:uid="{00000000-000C-0000-FFFF-FFFFC2000000}" r="I122" connectionId="0">
    <xmlCellPr id="1" xr6:uid="{00000000-0010-0000-C200-000001000000}" uniqueName="1">
      <xmlPr mapId="43" xpath="/ns1:Root/ns1:Prog/ns1:Target_P2_3" xmlDataType="double"/>
    </xmlCellPr>
  </singleXmlCell>
  <singleXmlCell id="616" xr6:uid="{00000000-000C-0000-FFFF-FFFFC3000000}" r="J122" connectionId="0">
    <xmlCellPr id="1" xr6:uid="{00000000-0010-0000-C300-000001000000}" uniqueName="1">
      <xmlPr mapId="43" xpath="/ns1:Root/ns1:Prog/ns1:Target_P3_3" xmlDataType="double"/>
    </xmlCellPr>
  </singleXmlCell>
  <singleXmlCell id="617" xr6:uid="{00000000-000C-0000-FFFF-FFFFC4000000}" r="K122" connectionId="0">
    <xmlCellPr id="1" xr6:uid="{00000000-0010-0000-C400-000001000000}" uniqueName="1">
      <xmlPr mapId="43" xpath="/ns1:Root/ns1:Prog/ns1:Target_P4_3" xmlDataType="double"/>
    </xmlCellPr>
  </singleXmlCell>
  <singleXmlCell id="618" xr6:uid="{00000000-000C-0000-FFFF-FFFFC5000000}" r="L122" connectionId="0">
    <xmlCellPr id="1" xr6:uid="{00000000-0010-0000-C500-000001000000}" uniqueName="1">
      <xmlPr mapId="43" xpath="/ns1:Root/ns1:Prog/ns1:Target_P5_3" xmlDataType="double"/>
    </xmlCellPr>
  </singleXmlCell>
  <singleXmlCell id="619" xr6:uid="{00000000-000C-0000-FFFF-FFFFC6000000}" r="M122" connectionId="0">
    <xmlCellPr id="1" xr6:uid="{00000000-0010-0000-C600-000001000000}" uniqueName="1">
      <xmlPr mapId="43" xpath="/ns1:Root/ns1:Prog/ns1:Target_P6_3" xmlDataType="double"/>
    </xmlCellPr>
  </singleXmlCell>
  <singleXmlCell id="620" xr6:uid="{00000000-000C-0000-FFFF-FFFFC7000000}" r="N122" connectionId="0">
    <xmlCellPr id="1" xr6:uid="{00000000-0010-0000-C700-000001000000}" uniqueName="1">
      <xmlPr mapId="43" xpath="/ns1:Root/ns1:Prog/ns1:Target_P7_3" xmlDataType="double"/>
    </xmlCellPr>
  </singleXmlCell>
  <singleXmlCell id="621" xr6:uid="{00000000-000C-0000-FFFF-FFFFC8000000}" r="O122" connectionId="0">
    <xmlCellPr id="1" xr6:uid="{00000000-0010-0000-C800-000001000000}" uniqueName="1">
      <xmlPr mapId="43" xpath="/ns1:Root/ns1:Prog/ns1:Target_P8_3" xmlDataType="double"/>
    </xmlCellPr>
  </singleXmlCell>
  <singleXmlCell id="622" xr6:uid="{00000000-000C-0000-FFFF-FFFFC9000000}" r="P122" connectionId="0">
    <xmlCellPr id="1" xr6:uid="{00000000-0010-0000-C900-000001000000}" uniqueName="1">
      <xmlPr mapId="43" xpath="/ns1:Root/ns1:Prog/ns1:Target_P9_3" xmlDataType="double"/>
    </xmlCellPr>
  </singleXmlCell>
  <singleXmlCell id="623" xr6:uid="{00000000-000C-0000-FFFF-FFFFCA000000}" r="Q122" connectionId="0">
    <xmlCellPr id="1" xr6:uid="{00000000-0010-0000-CA00-000001000000}" uniqueName="1">
      <xmlPr mapId="43" xpath="/ns1:Root/ns1:Prog/ns1:Target_P10_3" xmlDataType="string"/>
    </xmlCellPr>
  </singleXmlCell>
  <singleXmlCell id="624" xr6:uid="{00000000-000C-0000-FFFF-FFFFCB000000}" r="R122" connectionId="0">
    <xmlCellPr id="1" xr6:uid="{00000000-0010-0000-CB00-000001000000}" uniqueName="1">
      <xmlPr mapId="43" xpath="/ns1:Root/ns1:Prog/ns1:Target_P11_3" xmlDataType="string"/>
    </xmlCellPr>
  </singleXmlCell>
  <singleXmlCell id="625" xr6:uid="{00000000-000C-0000-FFFF-FFFFCC000000}" r="S122" connectionId="0">
    <xmlCellPr id="1" xr6:uid="{00000000-0010-0000-CC00-000001000000}" uniqueName="1">
      <xmlPr mapId="43" xpath="/ns1:Root/ns1:Prog/ns1:Target_P12_3" xmlDataType="double"/>
    </xmlCellPr>
  </singleXmlCell>
  <singleXmlCell id="626" xr6:uid="{00000000-000C-0000-FFFF-FFFFCD000000}" r="H123" connectionId="0">
    <xmlCellPr id="1" xr6:uid="{00000000-0010-0000-CD00-000001000000}" uniqueName="1">
      <xmlPr mapId="43" xpath="/ns1:Root/ns1:Prog/ns1:Achieved__P1_3" xmlDataType="string"/>
    </xmlCellPr>
  </singleXmlCell>
  <singleXmlCell id="627" xr6:uid="{00000000-000C-0000-FFFF-FFFFCE000000}" r="I123" connectionId="0">
    <xmlCellPr id="1" xr6:uid="{00000000-0010-0000-CE00-000001000000}" uniqueName="1">
      <xmlPr mapId="43" xpath="/ns1:Root/ns1:Prog/ns1:Achieved__P2_3" xmlDataType="double"/>
    </xmlCellPr>
  </singleXmlCell>
  <singleXmlCell id="628" xr6:uid="{00000000-000C-0000-FFFF-FFFFCF000000}" r="J123" connectionId="0">
    <xmlCellPr id="1" xr6:uid="{00000000-0010-0000-CF00-000001000000}" uniqueName="1">
      <xmlPr mapId="43" xpath="/ns1:Root/ns1:Prog/ns1:Achieved__P3_3" xmlDataType="string"/>
    </xmlCellPr>
  </singleXmlCell>
  <singleXmlCell id="629" xr6:uid="{00000000-000C-0000-FFFF-FFFFD0000000}" r="K123" connectionId="0">
    <xmlCellPr id="1" xr6:uid="{00000000-0010-0000-D000-000001000000}" uniqueName="1">
      <xmlPr mapId="43" xpath="/ns1:Root/ns1:Prog/ns1:Achieved__P4_3" xmlDataType="double"/>
    </xmlCellPr>
  </singleXmlCell>
  <singleXmlCell id="630" xr6:uid="{00000000-000C-0000-FFFF-FFFFD1000000}" r="L123" connectionId="0">
    <xmlCellPr id="1" xr6:uid="{00000000-0010-0000-D100-000001000000}" uniqueName="1">
      <xmlPr mapId="43" xpath="/ns1:Root/ns1:Prog/ns1:Achieved__P5_3" xmlDataType="string"/>
    </xmlCellPr>
  </singleXmlCell>
  <singleXmlCell id="631" xr6:uid="{00000000-000C-0000-FFFF-FFFFD2000000}" r="M123" connectionId="0">
    <xmlCellPr id="1" xr6:uid="{00000000-0010-0000-D200-000001000000}" uniqueName="1">
      <xmlPr mapId="43" xpath="/ns1:Root/ns1:Prog/ns1:Achieved__P6_3" xmlDataType="string"/>
    </xmlCellPr>
  </singleXmlCell>
  <singleXmlCell id="632" xr6:uid="{00000000-000C-0000-FFFF-FFFFD3000000}" r="N123" connectionId="0">
    <xmlCellPr id="1" xr6:uid="{00000000-0010-0000-D300-000001000000}" uniqueName="1">
      <xmlPr mapId="43" xpath="/ns1:Root/ns1:Prog/ns1:Achieved__P7_3" xmlDataType="string"/>
    </xmlCellPr>
  </singleXmlCell>
  <singleXmlCell id="633" xr6:uid="{00000000-000C-0000-FFFF-FFFFD4000000}" r="O123" connectionId="0">
    <xmlCellPr id="1" xr6:uid="{00000000-0010-0000-D400-000001000000}" uniqueName="1">
      <xmlPr mapId="43" xpath="/ns1:Root/ns1:Prog/ns1:Achieved__P8_3" xmlDataType="string"/>
    </xmlCellPr>
  </singleXmlCell>
  <singleXmlCell id="634" xr6:uid="{00000000-000C-0000-FFFF-FFFFD5000000}" r="P123" connectionId="0">
    <xmlCellPr id="1" xr6:uid="{00000000-0010-0000-D500-000001000000}" uniqueName="1">
      <xmlPr mapId="43" xpath="/ns1:Root/ns1:Prog/ns1:Achieved__P9_3" xmlDataType="string"/>
    </xmlCellPr>
  </singleXmlCell>
  <singleXmlCell id="635" xr6:uid="{00000000-000C-0000-FFFF-FFFFD6000000}" r="Q123" connectionId="0">
    <xmlCellPr id="1" xr6:uid="{00000000-0010-0000-D600-000001000000}" uniqueName="1">
      <xmlPr mapId="43" xpath="/ns1:Root/ns1:Prog/ns1:Achieved__P10_3" xmlDataType="string"/>
    </xmlCellPr>
  </singleXmlCell>
  <singleXmlCell id="636" xr6:uid="{00000000-000C-0000-FFFF-FFFFD7000000}" r="R123" connectionId="0">
    <xmlCellPr id="1" xr6:uid="{00000000-0010-0000-D700-000001000000}" uniqueName="1">
      <xmlPr mapId="43" xpath="/ns1:Root/ns1:Prog/ns1:Achieved__P11_3" xmlDataType="string"/>
    </xmlCellPr>
  </singleXmlCell>
  <singleXmlCell id="637" xr6:uid="{00000000-000C-0000-FFFF-FFFFD8000000}" r="S123" connectionId="0">
    <xmlCellPr id="1" xr6:uid="{00000000-0010-0000-D800-000001000000}" uniqueName="1">
      <xmlPr mapId="43" xpath="/ns1:Root/ns1:Prog/ns1:Achieved__P12_3" xmlDataType="string"/>
    </xmlCellPr>
  </singleXmlCell>
  <singleXmlCell id="638" xr6:uid="{00000000-000C-0000-FFFF-FFFFD9000000}" r="H124" connectionId="0">
    <xmlCellPr id="1" xr6:uid="{00000000-0010-0000-D900-000001000000}" uniqueName="1">
      <xmlPr mapId="43" xpath="/ns1:Root/ns1:Prog/ns1:Target_P1_4" xmlDataType="string"/>
    </xmlCellPr>
  </singleXmlCell>
  <singleXmlCell id="639" xr6:uid="{00000000-000C-0000-FFFF-FFFFDA000000}" r="I124" connectionId="0">
    <xmlCellPr id="1" xr6:uid="{00000000-0010-0000-DA00-000001000000}" uniqueName="1">
      <xmlPr mapId="43" xpath="/ns1:Root/ns1:Prog/ns1:Target_P2_4" xmlDataType="string"/>
    </xmlCellPr>
  </singleXmlCell>
  <singleXmlCell id="640" xr6:uid="{00000000-000C-0000-FFFF-FFFFDB000000}" r="J124" connectionId="0">
    <xmlCellPr id="1" xr6:uid="{00000000-0010-0000-DB00-000001000000}" uniqueName="1">
      <xmlPr mapId="43" xpath="/ns1:Root/ns1:Prog/ns1:Target_P3_4" xmlDataType="string"/>
    </xmlCellPr>
  </singleXmlCell>
  <singleXmlCell id="641" xr6:uid="{00000000-000C-0000-FFFF-FFFFDC000000}" r="K124" connectionId="0">
    <xmlCellPr id="1" xr6:uid="{00000000-0010-0000-DC00-000001000000}" uniqueName="1">
      <xmlPr mapId="43" xpath="/ns1:Root/ns1:Prog/ns1:Target_P4_4" xmlDataType="double"/>
    </xmlCellPr>
  </singleXmlCell>
  <singleXmlCell id="642" xr6:uid="{00000000-000C-0000-FFFF-FFFFDD000000}" r="L124" connectionId="0">
    <xmlCellPr id="1" xr6:uid="{00000000-0010-0000-DD00-000001000000}" uniqueName="1">
      <xmlPr mapId="43" xpath="/ns1:Root/ns1:Prog/ns1:Target_P5_4" xmlDataType="string"/>
    </xmlCellPr>
  </singleXmlCell>
  <singleXmlCell id="643" xr6:uid="{00000000-000C-0000-FFFF-FFFFDE000000}" r="M124" connectionId="0">
    <xmlCellPr id="1" xr6:uid="{00000000-0010-0000-DE00-000001000000}" uniqueName="1">
      <xmlPr mapId="43" xpath="/ns1:Root/ns1:Prog/ns1:Target_P6_4" xmlDataType="string"/>
    </xmlCellPr>
  </singleXmlCell>
  <singleXmlCell id="644" xr6:uid="{00000000-000C-0000-FFFF-FFFFDF000000}" r="N124" connectionId="0">
    <xmlCellPr id="1" xr6:uid="{00000000-0010-0000-DF00-000001000000}" uniqueName="1">
      <xmlPr mapId="43" xpath="/ns1:Root/ns1:Prog/ns1:Target_P7_4" xmlDataType="string"/>
    </xmlCellPr>
  </singleXmlCell>
  <singleXmlCell id="645" xr6:uid="{00000000-000C-0000-FFFF-FFFFE0000000}" r="O124" connectionId="0">
    <xmlCellPr id="1" xr6:uid="{00000000-0010-0000-E000-000001000000}" uniqueName="1">
      <xmlPr mapId="43" xpath="/ns1:Root/ns1:Prog/ns1:Target_P8_4" xmlDataType="double"/>
    </xmlCellPr>
  </singleXmlCell>
  <singleXmlCell id="646" xr6:uid="{00000000-000C-0000-FFFF-FFFFE1000000}" r="P124" connectionId="0">
    <xmlCellPr id="1" xr6:uid="{00000000-0010-0000-E100-000001000000}" uniqueName="1">
      <xmlPr mapId="43" xpath="/ns1:Root/ns1:Prog/ns1:Target_P9_4" xmlDataType="string"/>
    </xmlCellPr>
  </singleXmlCell>
  <singleXmlCell id="647" xr6:uid="{00000000-000C-0000-FFFF-FFFFE2000000}" r="Q124" connectionId="0">
    <xmlCellPr id="1" xr6:uid="{00000000-0010-0000-E200-000001000000}" uniqueName="1">
      <xmlPr mapId="43" xpath="/ns1:Root/ns1:Prog/ns1:Target_P10_4" xmlDataType="string"/>
    </xmlCellPr>
  </singleXmlCell>
  <singleXmlCell id="648" xr6:uid="{00000000-000C-0000-FFFF-FFFFE3000000}" r="R124" connectionId="0">
    <xmlCellPr id="1" xr6:uid="{00000000-0010-0000-E300-000001000000}" uniqueName="1">
      <xmlPr mapId="43" xpath="/ns1:Root/ns1:Prog/ns1:Target_P11_4" xmlDataType="string"/>
    </xmlCellPr>
  </singleXmlCell>
  <singleXmlCell id="649" xr6:uid="{00000000-000C-0000-FFFF-FFFFE4000000}" r="S124" connectionId="0">
    <xmlCellPr id="1" xr6:uid="{00000000-0010-0000-E400-000001000000}" uniqueName="1">
      <xmlPr mapId="43" xpath="/ns1:Root/ns1:Prog/ns1:Target_P12_4" xmlDataType="double"/>
    </xmlCellPr>
  </singleXmlCell>
  <singleXmlCell id="650" xr6:uid="{00000000-000C-0000-FFFF-FFFFE5000000}" r="H125" connectionId="0">
    <xmlCellPr id="1" xr6:uid="{00000000-0010-0000-E500-000001000000}" uniqueName="1">
      <xmlPr mapId="43" xpath="/ns1:Root/ns1:Prog/ns1:Achieved__P1_4" xmlDataType="string"/>
    </xmlCellPr>
  </singleXmlCell>
  <singleXmlCell id="651" xr6:uid="{00000000-000C-0000-FFFF-FFFFE6000000}" r="I125" connectionId="0">
    <xmlCellPr id="1" xr6:uid="{00000000-0010-0000-E600-000001000000}" uniqueName="1">
      <xmlPr mapId="43" xpath="/ns1:Root/ns1:Prog/ns1:Achieved__P2_4" xmlDataType="string"/>
    </xmlCellPr>
  </singleXmlCell>
  <singleXmlCell id="652" xr6:uid="{00000000-000C-0000-FFFF-FFFFE7000000}" r="J125" connectionId="0">
    <xmlCellPr id="1" xr6:uid="{00000000-0010-0000-E700-000001000000}" uniqueName="1">
      <xmlPr mapId="43" xpath="/ns1:Root/ns1:Prog/ns1:Achieved__P3_4" xmlDataType="string"/>
    </xmlCellPr>
  </singleXmlCell>
  <singleXmlCell id="653" xr6:uid="{00000000-000C-0000-FFFF-FFFFE8000000}" r="K125" connectionId="0">
    <xmlCellPr id="1" xr6:uid="{00000000-0010-0000-E800-000001000000}" uniqueName="1">
      <xmlPr mapId="43" xpath="/ns1:Root/ns1:Prog/ns1:Achieved__P4_4" xmlDataType="double"/>
    </xmlCellPr>
  </singleXmlCell>
  <singleXmlCell id="654" xr6:uid="{00000000-000C-0000-FFFF-FFFFE9000000}" r="L125" connectionId="0">
    <xmlCellPr id="1" xr6:uid="{00000000-0010-0000-E900-000001000000}" uniqueName="1">
      <xmlPr mapId="43" xpath="/ns1:Root/ns1:Prog/ns1:Achieved__P5_4" xmlDataType="string"/>
    </xmlCellPr>
  </singleXmlCell>
  <singleXmlCell id="655" xr6:uid="{00000000-000C-0000-FFFF-FFFFEA000000}" r="M125" connectionId="0">
    <xmlCellPr id="1" xr6:uid="{00000000-0010-0000-EA00-000001000000}" uniqueName="1">
      <xmlPr mapId="43" xpath="/ns1:Root/ns1:Prog/ns1:Achieved__P6_4" xmlDataType="string"/>
    </xmlCellPr>
  </singleXmlCell>
  <singleXmlCell id="656" xr6:uid="{00000000-000C-0000-FFFF-FFFFEB000000}" r="N125" connectionId="0">
    <xmlCellPr id="1" xr6:uid="{00000000-0010-0000-EB00-000001000000}" uniqueName="1">
      <xmlPr mapId="43" xpath="/ns1:Root/ns1:Prog/ns1:Achieved__P7_4" xmlDataType="string"/>
    </xmlCellPr>
  </singleXmlCell>
  <singleXmlCell id="657" xr6:uid="{00000000-000C-0000-FFFF-FFFFEC000000}" r="O125" connectionId="0">
    <xmlCellPr id="1" xr6:uid="{00000000-0010-0000-EC00-000001000000}" uniqueName="1">
      <xmlPr mapId="43" xpath="/ns1:Root/ns1:Prog/ns1:Achieved__P8_4" xmlDataType="string"/>
    </xmlCellPr>
  </singleXmlCell>
  <singleXmlCell id="658" xr6:uid="{00000000-000C-0000-FFFF-FFFFED000000}" r="P125" connectionId="0">
    <xmlCellPr id="1" xr6:uid="{00000000-0010-0000-ED00-000001000000}" uniqueName="1">
      <xmlPr mapId="43" xpath="/ns1:Root/ns1:Prog/ns1:Achieved__P9_4" xmlDataType="string"/>
    </xmlCellPr>
  </singleXmlCell>
  <singleXmlCell id="659" xr6:uid="{00000000-000C-0000-FFFF-FFFFEE000000}" r="Q125" connectionId="0">
    <xmlCellPr id="1" xr6:uid="{00000000-0010-0000-EE00-000001000000}" uniqueName="1">
      <xmlPr mapId="43" xpath="/ns1:Root/ns1:Prog/ns1:Achieved__P10_4" xmlDataType="string"/>
    </xmlCellPr>
  </singleXmlCell>
  <singleXmlCell id="660" xr6:uid="{00000000-000C-0000-FFFF-FFFFEF000000}" r="R125" connectionId="0">
    <xmlCellPr id="1" xr6:uid="{00000000-0010-0000-EF00-000001000000}" uniqueName="1">
      <xmlPr mapId="43" xpath="/ns1:Root/ns1:Prog/ns1:Achieved__P11_4" xmlDataType="string"/>
    </xmlCellPr>
  </singleXmlCell>
  <singleXmlCell id="661" xr6:uid="{00000000-000C-0000-FFFF-FFFFF0000000}" r="S125" connectionId="0">
    <xmlCellPr id="1" xr6:uid="{00000000-0010-0000-F000-000001000000}" uniqueName="1">
      <xmlPr mapId="43" xpath="/ns1:Root/ns1:Prog/ns1:Achieved__P12_4" xmlDataType="string"/>
    </xmlCellPr>
  </singleXmlCell>
  <singleXmlCell id="662" xr6:uid="{00000000-000C-0000-FFFF-FFFFF1000000}" r="H126" connectionId="0">
    <xmlCellPr id="1" xr6:uid="{00000000-0010-0000-F100-000001000000}" uniqueName="1">
      <xmlPr mapId="43" xpath="/ns1:Root/ns1:Prog/ns1:Target_P1_5" xmlDataType="double"/>
    </xmlCellPr>
  </singleXmlCell>
  <singleXmlCell id="663" xr6:uid="{00000000-000C-0000-FFFF-FFFFF2000000}" r="I126" connectionId="0">
    <xmlCellPr id="1" xr6:uid="{00000000-0010-0000-F200-000001000000}" uniqueName="1">
      <xmlPr mapId="43" xpath="/ns1:Root/ns1:Prog/ns1:Target_P2_5" xmlDataType="double"/>
    </xmlCellPr>
  </singleXmlCell>
  <singleXmlCell id="664" xr6:uid="{00000000-000C-0000-FFFF-FFFFF3000000}" r="J126" connectionId="0">
    <xmlCellPr id="1" xr6:uid="{00000000-0010-0000-F300-000001000000}" uniqueName="1">
      <xmlPr mapId="43" xpath="/ns1:Root/ns1:Prog/ns1:Target_P3_5" xmlDataType="double"/>
    </xmlCellPr>
  </singleXmlCell>
  <singleXmlCell id="665" xr6:uid="{00000000-000C-0000-FFFF-FFFFF4000000}" r="K126" connectionId="0">
    <xmlCellPr id="1" xr6:uid="{00000000-0010-0000-F400-000001000000}" uniqueName="1">
      <xmlPr mapId="43" xpath="/ns1:Root/ns1:Prog/ns1:Target_P4_5" xmlDataType="double"/>
    </xmlCellPr>
  </singleXmlCell>
  <singleXmlCell id="666" xr6:uid="{00000000-000C-0000-FFFF-FFFFF5000000}" r="L126" connectionId="0">
    <xmlCellPr id="1" xr6:uid="{00000000-0010-0000-F500-000001000000}" uniqueName="1">
      <xmlPr mapId="43" xpath="/ns1:Root/ns1:Prog/ns1:Target_P5_5" xmlDataType="double"/>
    </xmlCellPr>
  </singleXmlCell>
  <singleXmlCell id="667" xr6:uid="{00000000-000C-0000-FFFF-FFFFF6000000}" r="M126" connectionId="0">
    <xmlCellPr id="1" xr6:uid="{00000000-0010-0000-F600-000001000000}" uniqueName="1">
      <xmlPr mapId="43" xpath="/ns1:Root/ns1:Prog/ns1:Target_P6_5" xmlDataType="double"/>
    </xmlCellPr>
  </singleXmlCell>
  <singleXmlCell id="668" xr6:uid="{00000000-000C-0000-FFFF-FFFFF7000000}" r="N126" connectionId="0">
    <xmlCellPr id="1" xr6:uid="{00000000-0010-0000-F700-000001000000}" uniqueName="1">
      <xmlPr mapId="43" xpath="/ns1:Root/ns1:Prog/ns1:Target_P7_5" xmlDataType="double"/>
    </xmlCellPr>
  </singleXmlCell>
  <singleXmlCell id="669" xr6:uid="{00000000-000C-0000-FFFF-FFFFF8000000}" r="O126" connectionId="0">
    <xmlCellPr id="1" xr6:uid="{00000000-0010-0000-F800-000001000000}" uniqueName="1">
      <xmlPr mapId="43" xpath="/ns1:Root/ns1:Prog/ns1:Target_P8_5" xmlDataType="double"/>
    </xmlCellPr>
  </singleXmlCell>
  <singleXmlCell id="670" xr6:uid="{00000000-000C-0000-FFFF-FFFFF9000000}" r="P126" connectionId="0">
    <xmlCellPr id="1" xr6:uid="{00000000-0010-0000-F900-000001000000}" uniqueName="1">
      <xmlPr mapId="43" xpath="/ns1:Root/ns1:Prog/ns1:Target_P9_5" xmlDataType="double"/>
    </xmlCellPr>
  </singleXmlCell>
  <singleXmlCell id="671" xr6:uid="{00000000-000C-0000-FFFF-FFFFFA000000}" r="Q126" connectionId="0">
    <xmlCellPr id="1" xr6:uid="{00000000-0010-0000-FA00-000001000000}" uniqueName="1">
      <xmlPr mapId="43" xpath="/ns1:Root/ns1:Prog/ns1:Target_P10_5" xmlDataType="double"/>
    </xmlCellPr>
  </singleXmlCell>
  <singleXmlCell id="672" xr6:uid="{00000000-000C-0000-FFFF-FFFFFB000000}" r="R126" connectionId="0">
    <xmlCellPr id="1" xr6:uid="{00000000-0010-0000-FB00-000001000000}" uniqueName="1">
      <xmlPr mapId="43" xpath="/ns1:Root/ns1:Prog/ns1:Target_P11_5" xmlDataType="double"/>
    </xmlCellPr>
  </singleXmlCell>
  <singleXmlCell id="673" xr6:uid="{00000000-000C-0000-FFFF-FFFFFC000000}" r="S126" connectionId="0">
    <xmlCellPr id="1" xr6:uid="{00000000-0010-0000-FC00-000001000000}" uniqueName="1">
      <xmlPr mapId="43" xpath="/ns1:Root/ns1:Prog/ns1:Target_P12_5" xmlDataType="double"/>
    </xmlCellPr>
  </singleXmlCell>
  <singleXmlCell id="674" xr6:uid="{00000000-000C-0000-FFFF-FFFFFD000000}" r="H127" connectionId="0">
    <xmlCellPr id="1" xr6:uid="{00000000-0010-0000-FD00-000001000000}" uniqueName="1">
      <xmlPr mapId="43" xpath="/ns1:Root/ns1:Prog/ns1:Achieved__P1_5" xmlDataType="double"/>
    </xmlCellPr>
  </singleXmlCell>
  <singleXmlCell id="675" xr6:uid="{00000000-000C-0000-FFFF-FFFFFE000000}" r="I127" connectionId="0">
    <xmlCellPr id="1" xr6:uid="{00000000-0010-0000-FE00-000001000000}" uniqueName="1">
      <xmlPr mapId="43" xpath="/ns1:Root/ns1:Prog/ns1:Achieved__P2_5" xmlDataType="double"/>
    </xmlCellPr>
  </singleXmlCell>
  <singleXmlCell id="676" xr6:uid="{00000000-000C-0000-FFFF-FFFFFF000000}" r="J127" connectionId="0">
    <xmlCellPr id="1" xr6:uid="{00000000-0010-0000-FF00-000001000000}" uniqueName="1">
      <xmlPr mapId="43" xpath="/ns1:Root/ns1:Prog/ns1:Achieved__P3_5" xmlDataType="double"/>
    </xmlCellPr>
  </singleXmlCell>
  <singleXmlCell id="677" xr6:uid="{00000000-000C-0000-FFFF-FFFF00010000}" r="K127" connectionId="0">
    <xmlCellPr id="1" xr6:uid="{00000000-0010-0000-0001-000001000000}" uniqueName="1">
      <xmlPr mapId="43" xpath="/ns1:Root/ns1:Prog/ns1:Achieved__P4_5" xmlDataType="double"/>
    </xmlCellPr>
  </singleXmlCell>
  <singleXmlCell id="678" xr6:uid="{00000000-000C-0000-FFFF-FFFF01010000}" r="L127" connectionId="0">
    <xmlCellPr id="1" xr6:uid="{00000000-0010-0000-0101-000001000000}" uniqueName="1">
      <xmlPr mapId="43" xpath="/ns1:Root/ns1:Prog/ns1:Achieved__P5_5" xmlDataType="string"/>
    </xmlCellPr>
  </singleXmlCell>
  <singleXmlCell id="679" xr6:uid="{00000000-000C-0000-FFFF-FFFF02010000}" r="M127" connectionId="0">
    <xmlCellPr id="1" xr6:uid="{00000000-0010-0000-0201-000001000000}" uniqueName="1">
      <xmlPr mapId="43" xpath="/ns1:Root/ns1:Prog/ns1:Achieved__P6_5" xmlDataType="string"/>
    </xmlCellPr>
  </singleXmlCell>
  <singleXmlCell id="680" xr6:uid="{00000000-000C-0000-FFFF-FFFF03010000}" r="N127" connectionId="0">
    <xmlCellPr id="1" xr6:uid="{00000000-0010-0000-0301-000001000000}" uniqueName="1">
      <xmlPr mapId="43" xpath="/ns1:Root/ns1:Prog/ns1:Achieved__P7_5" xmlDataType="string"/>
    </xmlCellPr>
  </singleXmlCell>
  <singleXmlCell id="681" xr6:uid="{00000000-000C-0000-FFFF-FFFF04010000}" r="O127" connectionId="0">
    <xmlCellPr id="1" xr6:uid="{00000000-0010-0000-0401-000001000000}" uniqueName="1">
      <xmlPr mapId="43" xpath="/ns1:Root/ns1:Prog/ns1:Achieved__P8_5" xmlDataType="string"/>
    </xmlCellPr>
  </singleXmlCell>
  <singleXmlCell id="682" xr6:uid="{00000000-000C-0000-FFFF-FFFF05010000}" r="P127" connectionId="0">
    <xmlCellPr id="1" xr6:uid="{00000000-0010-0000-0501-000001000000}" uniqueName="1">
      <xmlPr mapId="43" xpath="/ns1:Root/ns1:Prog/ns1:Achieved__P9_5" xmlDataType="string"/>
    </xmlCellPr>
  </singleXmlCell>
  <singleXmlCell id="683" xr6:uid="{00000000-000C-0000-FFFF-FFFF06010000}" r="Q127" connectionId="0">
    <xmlCellPr id="1" xr6:uid="{00000000-0010-0000-0601-000001000000}" uniqueName="1">
      <xmlPr mapId="43" xpath="/ns1:Root/ns1:Prog/ns1:Achieved__P10_5" xmlDataType="string"/>
    </xmlCellPr>
  </singleXmlCell>
  <singleXmlCell id="684" xr6:uid="{00000000-000C-0000-FFFF-FFFF07010000}" r="R127" connectionId="0">
    <xmlCellPr id="1" xr6:uid="{00000000-0010-0000-0701-000001000000}" uniqueName="1">
      <xmlPr mapId="43" xpath="/ns1:Root/ns1:Prog/ns1:Achieved__P11_5" xmlDataType="string"/>
    </xmlCellPr>
  </singleXmlCell>
  <singleXmlCell id="685" xr6:uid="{00000000-000C-0000-FFFF-FFFF08010000}" r="S127" connectionId="0">
    <xmlCellPr id="1" xr6:uid="{00000000-0010-0000-0801-000001000000}" uniqueName="1">
      <xmlPr mapId="43" xpath="/ns1:Root/ns1:Prog/ns1:Achieved__P12_5" xmlDataType="string"/>
    </xmlCellPr>
  </singleXmlCell>
  <singleXmlCell id="686" xr6:uid="{00000000-000C-0000-FFFF-FFFF09010000}" r="H128" connectionId="0">
    <xmlCellPr id="1" xr6:uid="{00000000-0010-0000-0901-000001000000}" uniqueName="1">
      <xmlPr mapId="43" xpath="/ns1:Root/ns1:Prog/ns1:Target_P1_6" xmlDataType="double"/>
    </xmlCellPr>
  </singleXmlCell>
  <singleXmlCell id="687" xr6:uid="{00000000-000C-0000-FFFF-FFFF0A010000}" r="I128" connectionId="0">
    <xmlCellPr id="1" xr6:uid="{00000000-0010-0000-0A01-000001000000}" uniqueName="1">
      <xmlPr mapId="43" xpath="/ns1:Root/ns1:Prog/ns1:Target_P2_6" xmlDataType="double"/>
    </xmlCellPr>
  </singleXmlCell>
  <singleXmlCell id="688" xr6:uid="{00000000-000C-0000-FFFF-FFFF0B010000}" r="J128" connectionId="0">
    <xmlCellPr id="1" xr6:uid="{00000000-0010-0000-0B01-000001000000}" uniqueName="1">
      <xmlPr mapId="43" xpath="/ns1:Root/ns1:Prog/ns1:Target_P3_6" xmlDataType="double"/>
    </xmlCellPr>
  </singleXmlCell>
  <singleXmlCell id="689" xr6:uid="{00000000-000C-0000-FFFF-FFFF0C010000}" r="K128" connectionId="0">
    <xmlCellPr id="1" xr6:uid="{00000000-0010-0000-0C01-000001000000}" uniqueName="1">
      <xmlPr mapId="43" xpath="/ns1:Root/ns1:Prog/ns1:Target_P4_6" xmlDataType="double"/>
    </xmlCellPr>
  </singleXmlCell>
  <singleXmlCell id="690" xr6:uid="{00000000-000C-0000-FFFF-FFFF0D010000}" r="L128" connectionId="0">
    <xmlCellPr id="1" xr6:uid="{00000000-0010-0000-0D01-000001000000}" uniqueName="1">
      <xmlPr mapId="43" xpath="/ns1:Root/ns1:Prog/ns1:Target_P5_6" xmlDataType="double"/>
    </xmlCellPr>
  </singleXmlCell>
  <singleXmlCell id="691" xr6:uid="{00000000-000C-0000-FFFF-FFFF0E010000}" r="M128" connectionId="0">
    <xmlCellPr id="1" xr6:uid="{00000000-0010-0000-0E01-000001000000}" uniqueName="1">
      <xmlPr mapId="43" xpath="/ns1:Root/ns1:Prog/ns1:Target_P6_6" xmlDataType="double"/>
    </xmlCellPr>
  </singleXmlCell>
  <singleXmlCell id="692" xr6:uid="{00000000-000C-0000-FFFF-FFFF0F010000}" r="N128" connectionId="0">
    <xmlCellPr id="1" xr6:uid="{00000000-0010-0000-0F01-000001000000}" uniqueName="1">
      <xmlPr mapId="43" xpath="/ns1:Root/ns1:Prog/ns1:Target_P7_6" xmlDataType="double"/>
    </xmlCellPr>
  </singleXmlCell>
  <singleXmlCell id="693" xr6:uid="{00000000-000C-0000-FFFF-FFFF10010000}" r="O128" connectionId="0">
    <xmlCellPr id="1" xr6:uid="{00000000-0010-0000-1001-000001000000}" uniqueName="1">
      <xmlPr mapId="43" xpath="/ns1:Root/ns1:Prog/ns1:Target_P8_6" xmlDataType="double"/>
    </xmlCellPr>
  </singleXmlCell>
  <singleXmlCell id="694" xr6:uid="{00000000-000C-0000-FFFF-FFFF11010000}" r="P128" connectionId="0">
    <xmlCellPr id="1" xr6:uid="{00000000-0010-0000-1101-000001000000}" uniqueName="1">
      <xmlPr mapId="43" xpath="/ns1:Root/ns1:Prog/ns1:Target_P9_6" xmlDataType="double"/>
    </xmlCellPr>
  </singleXmlCell>
  <singleXmlCell id="695" xr6:uid="{00000000-000C-0000-FFFF-FFFF12010000}" r="Q128" connectionId="0">
    <xmlCellPr id="1" xr6:uid="{00000000-0010-0000-1201-000001000000}" uniqueName="1">
      <xmlPr mapId="43" xpath="/ns1:Root/ns1:Prog/ns1:Target_P10_6" xmlDataType="double"/>
    </xmlCellPr>
  </singleXmlCell>
  <singleXmlCell id="696" xr6:uid="{00000000-000C-0000-FFFF-FFFF13010000}" r="R128" connectionId="0">
    <xmlCellPr id="1" xr6:uid="{00000000-0010-0000-1301-000001000000}" uniqueName="1">
      <xmlPr mapId="43" xpath="/ns1:Root/ns1:Prog/ns1:Target_P11_6" xmlDataType="double"/>
    </xmlCellPr>
  </singleXmlCell>
  <singleXmlCell id="697" xr6:uid="{00000000-000C-0000-FFFF-FFFF14010000}" r="S128" connectionId="0">
    <xmlCellPr id="1" xr6:uid="{00000000-0010-0000-1401-000001000000}" uniqueName="1">
      <xmlPr mapId="43" xpath="/ns1:Root/ns1:Prog/ns1:Target_P12_6" xmlDataType="double"/>
    </xmlCellPr>
  </singleXmlCell>
  <singleXmlCell id="698" xr6:uid="{00000000-000C-0000-FFFF-FFFF15010000}" r="H129" connectionId="0">
    <xmlCellPr id="1" xr6:uid="{00000000-0010-0000-1501-000001000000}" uniqueName="1">
      <xmlPr mapId="43" xpath="/ns1:Root/ns1:Prog/ns1:Achieved__P1_6" xmlDataType="double"/>
    </xmlCellPr>
  </singleXmlCell>
  <singleXmlCell id="699" xr6:uid="{00000000-000C-0000-FFFF-FFFF16010000}" r="I129" connectionId="0">
    <xmlCellPr id="1" xr6:uid="{00000000-0010-0000-1601-000001000000}" uniqueName="1">
      <xmlPr mapId="43" xpath="/ns1:Root/ns1:Prog/ns1:Achieved__P2_6" xmlDataType="double"/>
    </xmlCellPr>
  </singleXmlCell>
  <singleXmlCell id="700" xr6:uid="{00000000-000C-0000-FFFF-FFFF17010000}" r="J129" connectionId="0">
    <xmlCellPr id="1" xr6:uid="{00000000-0010-0000-1701-000001000000}" uniqueName="1">
      <xmlPr mapId="43" xpath="/ns1:Root/ns1:Prog/ns1:Achieved__P3_6" xmlDataType="double"/>
    </xmlCellPr>
  </singleXmlCell>
  <singleXmlCell id="701" xr6:uid="{00000000-000C-0000-FFFF-FFFF18010000}" r="K129" connectionId="0">
    <xmlCellPr id="1" xr6:uid="{00000000-0010-0000-1801-000001000000}" uniqueName="1">
      <xmlPr mapId="43" xpath="/ns1:Root/ns1:Prog/ns1:Achieved__P4_6" xmlDataType="double"/>
    </xmlCellPr>
  </singleXmlCell>
  <singleXmlCell id="702" xr6:uid="{00000000-000C-0000-FFFF-FFFF19010000}" r="L129" connectionId="0">
    <xmlCellPr id="1" xr6:uid="{00000000-0010-0000-1901-000001000000}" uniqueName="1">
      <xmlPr mapId="43" xpath="/ns1:Root/ns1:Prog/ns1:Achieved__P5_6" xmlDataType="string"/>
    </xmlCellPr>
  </singleXmlCell>
  <singleXmlCell id="703" xr6:uid="{00000000-000C-0000-FFFF-FFFF1A010000}" r="M129" connectionId="0">
    <xmlCellPr id="1" xr6:uid="{00000000-0010-0000-1A01-000001000000}" uniqueName="1">
      <xmlPr mapId="43" xpath="/ns1:Root/ns1:Prog/ns1:Achieved__P6_6" xmlDataType="string"/>
    </xmlCellPr>
  </singleXmlCell>
  <singleXmlCell id="704" xr6:uid="{00000000-000C-0000-FFFF-FFFF1B010000}" r="N129" connectionId="0">
    <xmlCellPr id="1" xr6:uid="{00000000-0010-0000-1B01-000001000000}" uniqueName="1">
      <xmlPr mapId="43" xpath="/ns1:Root/ns1:Prog/ns1:Achieved__P7_6" xmlDataType="string"/>
    </xmlCellPr>
  </singleXmlCell>
  <singleXmlCell id="705" xr6:uid="{00000000-000C-0000-FFFF-FFFF1C010000}" r="O129" connectionId="0">
    <xmlCellPr id="1" xr6:uid="{00000000-0010-0000-1C01-000001000000}" uniqueName="1">
      <xmlPr mapId="43" xpath="/ns1:Root/ns1:Prog/ns1:Achieved__P8_6" xmlDataType="string"/>
    </xmlCellPr>
  </singleXmlCell>
  <singleXmlCell id="706" xr6:uid="{00000000-000C-0000-FFFF-FFFF1D010000}" r="P129" connectionId="0">
    <xmlCellPr id="1" xr6:uid="{00000000-0010-0000-1D01-000001000000}" uniqueName="1">
      <xmlPr mapId="43" xpath="/ns1:Root/ns1:Prog/ns1:Achieved__P9_6" xmlDataType="string"/>
    </xmlCellPr>
  </singleXmlCell>
  <singleXmlCell id="707" xr6:uid="{00000000-000C-0000-FFFF-FFFF1E010000}" r="Q129" connectionId="0">
    <xmlCellPr id="1" xr6:uid="{00000000-0010-0000-1E01-000001000000}" uniqueName="1">
      <xmlPr mapId="43" xpath="/ns1:Root/ns1:Prog/ns1:Achieved__P10_6" xmlDataType="string"/>
    </xmlCellPr>
  </singleXmlCell>
  <singleXmlCell id="708" xr6:uid="{00000000-000C-0000-FFFF-FFFF1F010000}" r="R129" connectionId="0">
    <xmlCellPr id="1" xr6:uid="{00000000-0010-0000-1F01-000001000000}" uniqueName="1">
      <xmlPr mapId="43" xpath="/ns1:Root/ns1:Prog/ns1:Achieved__P11_6" xmlDataType="string"/>
    </xmlCellPr>
  </singleXmlCell>
  <singleXmlCell id="709" xr6:uid="{00000000-000C-0000-FFFF-FFFF20010000}" r="S129" connectionId="0">
    <xmlCellPr id="1" xr6:uid="{00000000-0010-0000-2001-000001000000}" uniqueName="1">
      <xmlPr mapId="43" xpath="/ns1:Root/ns1:Prog/ns1:Achieved__P12_6" xmlDataType="string"/>
    </xmlCellPr>
  </singleXmlCell>
  <singleXmlCell id="710" xr6:uid="{00000000-000C-0000-FFFF-FFFF21010000}" r="H130" connectionId="0">
    <xmlCellPr id="1" xr6:uid="{00000000-0010-0000-2101-000001000000}" uniqueName="1">
      <xmlPr mapId="43" xpath="/ns1:Root/ns1:Prog/ns1:Target_P1_7" xmlDataType="double"/>
    </xmlCellPr>
  </singleXmlCell>
  <singleXmlCell id="711" xr6:uid="{00000000-000C-0000-FFFF-FFFF22010000}" r="I130" connectionId="0">
    <xmlCellPr id="1" xr6:uid="{00000000-0010-0000-2201-000001000000}" uniqueName="1">
      <xmlPr mapId="43" xpath="/ns1:Root/ns1:Prog/ns1:Target_P2_7" xmlDataType="double"/>
    </xmlCellPr>
  </singleXmlCell>
  <singleXmlCell id="712" xr6:uid="{00000000-000C-0000-FFFF-FFFF23010000}" r="J130" connectionId="0">
    <xmlCellPr id="1" xr6:uid="{00000000-0010-0000-2301-000001000000}" uniqueName="1">
      <xmlPr mapId="43" xpath="/ns1:Root/ns1:Prog/ns1:Target_P3_7" xmlDataType="double"/>
    </xmlCellPr>
  </singleXmlCell>
  <singleXmlCell id="713" xr6:uid="{00000000-000C-0000-FFFF-FFFF24010000}" r="K130" connectionId="0">
    <xmlCellPr id="1" xr6:uid="{00000000-0010-0000-2401-000001000000}" uniqueName="1">
      <xmlPr mapId="43" xpath="/ns1:Root/ns1:Prog/ns1:Target_P4_7" xmlDataType="double"/>
    </xmlCellPr>
  </singleXmlCell>
  <singleXmlCell id="714" xr6:uid="{00000000-000C-0000-FFFF-FFFF25010000}" r="L130" connectionId="0">
    <xmlCellPr id="1" xr6:uid="{00000000-0010-0000-2501-000001000000}" uniqueName="1">
      <xmlPr mapId="43" xpath="/ns1:Root/ns1:Prog/ns1:Target_P5_7" xmlDataType="double"/>
    </xmlCellPr>
  </singleXmlCell>
  <singleXmlCell id="715" xr6:uid="{00000000-000C-0000-FFFF-FFFF26010000}" r="M130" connectionId="0">
    <xmlCellPr id="1" xr6:uid="{00000000-0010-0000-2601-000001000000}" uniqueName="1">
      <xmlPr mapId="43" xpath="/ns1:Root/ns1:Prog/ns1:Target_P6_7" xmlDataType="double"/>
    </xmlCellPr>
  </singleXmlCell>
  <singleXmlCell id="716" xr6:uid="{00000000-000C-0000-FFFF-FFFF27010000}" r="N130" connectionId="0">
    <xmlCellPr id="1" xr6:uid="{00000000-0010-0000-2701-000001000000}" uniqueName="1">
      <xmlPr mapId="43" xpath="/ns1:Root/ns1:Prog/ns1:Target_P7_7" xmlDataType="double"/>
    </xmlCellPr>
  </singleXmlCell>
  <singleXmlCell id="717" xr6:uid="{00000000-000C-0000-FFFF-FFFF28010000}" r="O130" connectionId="0">
    <xmlCellPr id="1" xr6:uid="{00000000-0010-0000-2801-000001000000}" uniqueName="1">
      <xmlPr mapId="43" xpath="/ns1:Root/ns1:Prog/ns1:Target_P8_7" xmlDataType="double"/>
    </xmlCellPr>
  </singleXmlCell>
  <singleXmlCell id="718" xr6:uid="{00000000-000C-0000-FFFF-FFFF29010000}" r="P130" connectionId="0">
    <xmlCellPr id="1" xr6:uid="{00000000-0010-0000-2901-000001000000}" uniqueName="1">
      <xmlPr mapId="43" xpath="/ns1:Root/ns1:Prog/ns1:Target_P9_7" xmlDataType="double"/>
    </xmlCellPr>
  </singleXmlCell>
  <singleXmlCell id="719" xr6:uid="{00000000-000C-0000-FFFF-FFFF2A010000}" r="Q130" connectionId="0">
    <xmlCellPr id="1" xr6:uid="{00000000-0010-0000-2A01-000001000000}" uniqueName="1">
      <xmlPr mapId="43" xpath="/ns1:Root/ns1:Prog/ns1:Target_P10_7" xmlDataType="double"/>
    </xmlCellPr>
  </singleXmlCell>
  <singleXmlCell id="720" xr6:uid="{00000000-000C-0000-FFFF-FFFF2B010000}" r="R130" connectionId="0">
    <xmlCellPr id="1" xr6:uid="{00000000-0010-0000-2B01-000001000000}" uniqueName="1">
      <xmlPr mapId="43" xpath="/ns1:Root/ns1:Prog/ns1:Target_P11_7" xmlDataType="double"/>
    </xmlCellPr>
  </singleXmlCell>
  <singleXmlCell id="721" xr6:uid="{00000000-000C-0000-FFFF-FFFF2C010000}" r="S130" connectionId="0">
    <xmlCellPr id="1" xr6:uid="{00000000-0010-0000-2C01-000001000000}" uniqueName="1">
      <xmlPr mapId="43" xpath="/ns1:Root/ns1:Prog/ns1:Target_P12_7" xmlDataType="double"/>
    </xmlCellPr>
  </singleXmlCell>
  <singleXmlCell id="722" xr6:uid="{00000000-000C-0000-FFFF-FFFF2D010000}" r="H131" connectionId="0">
    <xmlCellPr id="1" xr6:uid="{00000000-0010-0000-2D01-000001000000}" uniqueName="1">
      <xmlPr mapId="43" xpath="/ns1:Root/ns1:Prog/ns1:Achieved__P1_7" xmlDataType="double"/>
    </xmlCellPr>
  </singleXmlCell>
  <singleXmlCell id="723" xr6:uid="{00000000-000C-0000-FFFF-FFFF2E010000}" r="I131" connectionId="0">
    <xmlCellPr id="1" xr6:uid="{00000000-0010-0000-2E01-000001000000}" uniqueName="1">
      <xmlPr mapId="43" xpath="/ns1:Root/ns1:Prog/ns1:Achieved__P2_7" xmlDataType="double"/>
    </xmlCellPr>
  </singleXmlCell>
  <singleXmlCell id="724" xr6:uid="{00000000-000C-0000-FFFF-FFFF2F010000}" r="J131" connectionId="0">
    <xmlCellPr id="1" xr6:uid="{00000000-0010-0000-2F01-000001000000}" uniqueName="1">
      <xmlPr mapId="43" xpath="/ns1:Root/ns1:Prog/ns1:Achieved__P3_7" xmlDataType="double"/>
    </xmlCellPr>
  </singleXmlCell>
  <singleXmlCell id="725" xr6:uid="{00000000-000C-0000-FFFF-FFFF30010000}" r="K131" connectionId="0">
    <xmlCellPr id="1" xr6:uid="{00000000-0010-0000-3001-000001000000}" uniqueName="1">
      <xmlPr mapId="43" xpath="/ns1:Root/ns1:Prog/ns1:Achieved__P4_7" xmlDataType="double"/>
    </xmlCellPr>
  </singleXmlCell>
  <singleXmlCell id="726" xr6:uid="{00000000-000C-0000-FFFF-FFFF31010000}" r="L131" connectionId="0">
    <xmlCellPr id="1" xr6:uid="{00000000-0010-0000-3101-000001000000}" uniqueName="1">
      <xmlPr mapId="43" xpath="/ns1:Root/ns1:Prog/ns1:Achieved__P5_7" xmlDataType="string"/>
    </xmlCellPr>
  </singleXmlCell>
  <singleXmlCell id="727" xr6:uid="{00000000-000C-0000-FFFF-FFFF32010000}" r="M131" connectionId="0">
    <xmlCellPr id="1" xr6:uid="{00000000-0010-0000-3201-000001000000}" uniqueName="1">
      <xmlPr mapId="43" xpath="/ns1:Root/ns1:Prog/ns1:Achieved__P6_7" xmlDataType="string"/>
    </xmlCellPr>
  </singleXmlCell>
  <singleXmlCell id="728" xr6:uid="{00000000-000C-0000-FFFF-FFFF33010000}" r="N131" connectionId="0">
    <xmlCellPr id="1" xr6:uid="{00000000-0010-0000-3301-000001000000}" uniqueName="1">
      <xmlPr mapId="43" xpath="/ns1:Root/ns1:Prog/ns1:Achieved__P7_7" xmlDataType="string"/>
    </xmlCellPr>
  </singleXmlCell>
  <singleXmlCell id="729" xr6:uid="{00000000-000C-0000-FFFF-FFFF34010000}" r="O131" connectionId="0">
    <xmlCellPr id="1" xr6:uid="{00000000-0010-0000-3401-000001000000}" uniqueName="1">
      <xmlPr mapId="43" xpath="/ns1:Root/ns1:Prog/ns1:Achieved__P8_7" xmlDataType="string"/>
    </xmlCellPr>
  </singleXmlCell>
  <singleXmlCell id="730" xr6:uid="{00000000-000C-0000-FFFF-FFFF35010000}" r="P131" connectionId="0">
    <xmlCellPr id="1" xr6:uid="{00000000-0010-0000-3501-000001000000}" uniqueName="1">
      <xmlPr mapId="43" xpath="/ns1:Root/ns1:Prog/ns1:Achieved__P9_7" xmlDataType="string"/>
    </xmlCellPr>
  </singleXmlCell>
  <singleXmlCell id="731" xr6:uid="{00000000-000C-0000-FFFF-FFFF36010000}" r="Q131" connectionId="0">
    <xmlCellPr id="1" xr6:uid="{00000000-0010-0000-3601-000001000000}" uniqueName="1">
      <xmlPr mapId="43" xpath="/ns1:Root/ns1:Prog/ns1:Achieved__P10_7" xmlDataType="string"/>
    </xmlCellPr>
  </singleXmlCell>
  <singleXmlCell id="732" xr6:uid="{00000000-000C-0000-FFFF-FFFF37010000}" r="R131" connectionId="0">
    <xmlCellPr id="1" xr6:uid="{00000000-0010-0000-3701-000001000000}" uniqueName="1">
      <xmlPr mapId="43" xpath="/ns1:Root/ns1:Prog/ns1:Achieved__P11_7" xmlDataType="string"/>
    </xmlCellPr>
  </singleXmlCell>
  <singleXmlCell id="733" xr6:uid="{00000000-000C-0000-FFFF-FFFF38010000}" r="S131" connectionId="0">
    <xmlCellPr id="1" xr6:uid="{00000000-0010-0000-3801-000001000000}" uniqueName="1">
      <xmlPr mapId="43" xpath="/ns1:Root/ns1:Prog/ns1:Achieved__P12_7" xmlDataType="string"/>
    </xmlCellPr>
  </singleXmlCell>
  <singleXmlCell id="734" xr6:uid="{00000000-000C-0000-FFFF-FFFF39010000}" r="H132" connectionId="0">
    <xmlCellPr id="1" xr6:uid="{00000000-0010-0000-3901-000001000000}" uniqueName="1">
      <xmlPr mapId="43" xpath="/ns1:Root/ns1:Prog/ns1:Target_P1_8" xmlDataType="string"/>
    </xmlCellPr>
  </singleXmlCell>
  <singleXmlCell id="735" xr6:uid="{00000000-000C-0000-FFFF-FFFF3A010000}" r="I132" connectionId="0">
    <xmlCellPr id="1" xr6:uid="{00000000-0010-0000-3A01-000001000000}" uniqueName="1">
      <xmlPr mapId="43" xpath="/ns1:Root/ns1:Prog/ns1:Target_P2_8" xmlDataType="double"/>
    </xmlCellPr>
  </singleXmlCell>
  <singleXmlCell id="736" xr6:uid="{00000000-000C-0000-FFFF-FFFF3B010000}" r="J132" connectionId="0">
    <xmlCellPr id="1" xr6:uid="{00000000-0010-0000-3B01-000001000000}" uniqueName="1">
      <xmlPr mapId="43" xpath="/ns1:Root/ns1:Prog/ns1:Target_P3_8" xmlDataType="string"/>
    </xmlCellPr>
  </singleXmlCell>
  <singleXmlCell id="737" xr6:uid="{00000000-000C-0000-FFFF-FFFF3C010000}" r="K132" connectionId="0">
    <xmlCellPr id="1" xr6:uid="{00000000-0010-0000-3C01-000001000000}" uniqueName="1">
      <xmlPr mapId="43" xpath="/ns1:Root/ns1:Prog/ns1:Target_P4_8" xmlDataType="double"/>
    </xmlCellPr>
  </singleXmlCell>
  <singleXmlCell id="738" xr6:uid="{00000000-000C-0000-FFFF-FFFF3D010000}" r="L132" connectionId="0">
    <xmlCellPr id="1" xr6:uid="{00000000-0010-0000-3D01-000001000000}" uniqueName="1">
      <xmlPr mapId="43" xpath="/ns1:Root/ns1:Prog/ns1:Target_P5_8" xmlDataType="string"/>
    </xmlCellPr>
  </singleXmlCell>
  <singleXmlCell id="739" xr6:uid="{00000000-000C-0000-FFFF-FFFF3E010000}" r="M132" connectionId="0">
    <xmlCellPr id="1" xr6:uid="{00000000-0010-0000-3E01-000001000000}" uniqueName="1">
      <xmlPr mapId="43" xpath="/ns1:Root/ns1:Prog/ns1:Target_P6_8" xmlDataType="double"/>
    </xmlCellPr>
  </singleXmlCell>
  <singleXmlCell id="740" xr6:uid="{00000000-000C-0000-FFFF-FFFF3F010000}" r="N132" connectionId="0">
    <xmlCellPr id="1" xr6:uid="{00000000-0010-0000-3F01-000001000000}" uniqueName="1">
      <xmlPr mapId="43" xpath="/ns1:Root/ns1:Prog/ns1:Target_P7_8" xmlDataType="string"/>
    </xmlCellPr>
  </singleXmlCell>
  <singleXmlCell id="741" xr6:uid="{00000000-000C-0000-FFFF-FFFF40010000}" r="O132" connectionId="0">
    <xmlCellPr id="1" xr6:uid="{00000000-0010-0000-4001-000001000000}" uniqueName="1">
      <xmlPr mapId="43" xpath="/ns1:Root/ns1:Prog/ns1:Target_P8_8" xmlDataType="double"/>
    </xmlCellPr>
  </singleXmlCell>
  <singleXmlCell id="742" xr6:uid="{00000000-000C-0000-FFFF-FFFF41010000}" r="P132" connectionId="0">
    <xmlCellPr id="1" xr6:uid="{00000000-0010-0000-4101-000001000000}" uniqueName="1">
      <xmlPr mapId="43" xpath="/ns1:Root/ns1:Prog/ns1:Target_P9_8" xmlDataType="double"/>
    </xmlCellPr>
  </singleXmlCell>
  <singleXmlCell id="743" xr6:uid="{00000000-000C-0000-FFFF-FFFF42010000}" r="Q132" connectionId="0">
    <xmlCellPr id="1" xr6:uid="{00000000-0010-0000-4201-000001000000}" uniqueName="1">
      <xmlPr mapId="43" xpath="/ns1:Root/ns1:Prog/ns1:Target_P10_8" xmlDataType="double"/>
    </xmlCellPr>
  </singleXmlCell>
  <singleXmlCell id="744" xr6:uid="{00000000-000C-0000-FFFF-FFFF43010000}" r="R132" connectionId="0">
    <xmlCellPr id="1" xr6:uid="{00000000-0010-0000-4301-000001000000}" uniqueName="1">
      <xmlPr mapId="43" xpath="/ns1:Root/ns1:Prog/ns1:Target_P11_8" xmlDataType="double"/>
    </xmlCellPr>
  </singleXmlCell>
  <singleXmlCell id="745" xr6:uid="{00000000-000C-0000-FFFF-FFFF44010000}" r="S132" connectionId="0">
    <xmlCellPr id="1" xr6:uid="{00000000-0010-0000-4401-000001000000}" uniqueName="1">
      <xmlPr mapId="43" xpath="/ns1:Root/ns1:Prog/ns1:Target_P12_8" xmlDataType="double"/>
    </xmlCellPr>
  </singleXmlCell>
  <singleXmlCell id="746" xr6:uid="{00000000-000C-0000-FFFF-FFFF45010000}" r="H133" connectionId="0">
    <xmlCellPr id="1" xr6:uid="{00000000-0010-0000-4501-000001000000}" uniqueName="1">
      <xmlPr mapId="43" xpath="/ns1:Root/ns1:Prog/ns1:Achieved__P1_8" xmlDataType="string"/>
    </xmlCellPr>
  </singleXmlCell>
  <singleXmlCell id="747" xr6:uid="{00000000-000C-0000-FFFF-FFFF46010000}" r="I133" connectionId="0">
    <xmlCellPr id="1" xr6:uid="{00000000-0010-0000-4601-000001000000}" uniqueName="1">
      <xmlPr mapId="43" xpath="/ns1:Root/ns1:Prog/ns1:Achieved__P2_8" xmlDataType="string"/>
    </xmlCellPr>
  </singleXmlCell>
  <singleXmlCell id="748" xr6:uid="{00000000-000C-0000-FFFF-FFFF47010000}" r="J133" connectionId="0">
    <xmlCellPr id="1" xr6:uid="{00000000-0010-0000-4701-000001000000}" uniqueName="1">
      <xmlPr mapId="43" xpath="/ns1:Root/ns1:Prog/ns1:Achieved__P3_8" xmlDataType="string"/>
    </xmlCellPr>
  </singleXmlCell>
  <singleXmlCell id="749" xr6:uid="{00000000-000C-0000-FFFF-FFFF48010000}" r="K133" connectionId="0">
    <xmlCellPr id="1" xr6:uid="{00000000-0010-0000-4801-000001000000}" uniqueName="1">
      <xmlPr mapId="43" xpath="/ns1:Root/ns1:Prog/ns1:Achieved__P4_8" xmlDataType="string"/>
    </xmlCellPr>
  </singleXmlCell>
  <singleXmlCell id="750" xr6:uid="{00000000-000C-0000-FFFF-FFFF49010000}" r="L133" connectionId="0">
    <xmlCellPr id="1" xr6:uid="{00000000-0010-0000-4901-000001000000}" uniqueName="1">
      <xmlPr mapId="43" xpath="/ns1:Root/ns1:Prog/ns1:Achieved__P5_8" xmlDataType="string"/>
    </xmlCellPr>
  </singleXmlCell>
  <singleXmlCell id="751" xr6:uid="{00000000-000C-0000-FFFF-FFFF4A010000}" r="M133" connectionId="0">
    <xmlCellPr id="1" xr6:uid="{00000000-0010-0000-4A01-000001000000}" uniqueName="1">
      <xmlPr mapId="43" xpath="/ns1:Root/ns1:Prog/ns1:Achieved__P6_8" xmlDataType="string"/>
    </xmlCellPr>
  </singleXmlCell>
  <singleXmlCell id="752" xr6:uid="{00000000-000C-0000-FFFF-FFFF4B010000}" r="N133" connectionId="0">
    <xmlCellPr id="1" xr6:uid="{00000000-0010-0000-4B01-000001000000}" uniqueName="1">
      <xmlPr mapId="43" xpath="/ns1:Root/ns1:Prog/ns1:Achieved__P7_8" xmlDataType="string"/>
    </xmlCellPr>
  </singleXmlCell>
  <singleXmlCell id="753" xr6:uid="{00000000-000C-0000-FFFF-FFFF4C010000}" r="O133" connectionId="0">
    <xmlCellPr id="1" xr6:uid="{00000000-0010-0000-4C01-000001000000}" uniqueName="1">
      <xmlPr mapId="43" xpath="/ns1:Root/ns1:Prog/ns1:Achieved__P8_8" xmlDataType="string"/>
    </xmlCellPr>
  </singleXmlCell>
  <singleXmlCell id="754" xr6:uid="{00000000-000C-0000-FFFF-FFFF4D010000}" r="P133" connectionId="0">
    <xmlCellPr id="1" xr6:uid="{00000000-0010-0000-4D01-000001000000}" uniqueName="1">
      <xmlPr mapId="43" xpath="/ns1:Root/ns1:Prog/ns1:Achieved__P9_8" xmlDataType="string"/>
    </xmlCellPr>
  </singleXmlCell>
  <singleXmlCell id="755" xr6:uid="{00000000-000C-0000-FFFF-FFFF4E010000}" r="Q133" connectionId="0">
    <xmlCellPr id="1" xr6:uid="{00000000-0010-0000-4E01-000001000000}" uniqueName="1">
      <xmlPr mapId="43" xpath="/ns1:Root/ns1:Prog/ns1:Achieved__P10_8" xmlDataType="string"/>
    </xmlCellPr>
  </singleXmlCell>
  <singleXmlCell id="756" xr6:uid="{00000000-000C-0000-FFFF-FFFF4F010000}" r="R133" connectionId="0">
    <xmlCellPr id="1" xr6:uid="{00000000-0010-0000-4F01-000001000000}" uniqueName="1">
      <xmlPr mapId="43" xpath="/ns1:Root/ns1:Prog/ns1:Achieved__P11_8" xmlDataType="string"/>
    </xmlCellPr>
  </singleXmlCell>
  <singleXmlCell id="757" xr6:uid="{00000000-000C-0000-FFFF-FFFF50010000}" r="S133" connectionId="0">
    <xmlCellPr id="1" xr6:uid="{00000000-0010-0000-5001-000001000000}" uniqueName="1">
      <xmlPr mapId="43" xpath="/ns1:Root/ns1:Prog/ns1:Achieved__P12_8" xmlDataType="string"/>
    </xmlCellPr>
  </singleXmlCell>
  <singleXmlCell id="758" xr6:uid="{00000000-000C-0000-FFFF-FFFF51010000}" r="H134" connectionId="0">
    <xmlCellPr id="1" xr6:uid="{00000000-0010-0000-5101-000001000000}" uniqueName="1">
      <xmlPr mapId="43" xpath="/ns1:Root/ns1:Prog/ns1:Target_P1_9" xmlDataType="double"/>
    </xmlCellPr>
  </singleXmlCell>
  <singleXmlCell id="759" xr6:uid="{00000000-000C-0000-FFFF-FFFF52010000}" r="I134" connectionId="0">
    <xmlCellPr id="1" xr6:uid="{00000000-0010-0000-5201-000001000000}" uniqueName="1">
      <xmlPr mapId="43" xpath="/ns1:Root/ns1:Prog/ns1:Target_P2_9" xmlDataType="double"/>
    </xmlCellPr>
  </singleXmlCell>
  <singleXmlCell id="760" xr6:uid="{00000000-000C-0000-FFFF-FFFF53010000}" r="J134" connectionId="0">
    <xmlCellPr id="1" xr6:uid="{00000000-0010-0000-5301-000001000000}" uniqueName="1">
      <xmlPr mapId="43" xpath="/ns1:Root/ns1:Prog/ns1:Target_P3_9" xmlDataType="double"/>
    </xmlCellPr>
  </singleXmlCell>
  <singleXmlCell id="761" xr6:uid="{00000000-000C-0000-FFFF-FFFF54010000}" r="K134" connectionId="0">
    <xmlCellPr id="1" xr6:uid="{00000000-0010-0000-5401-000001000000}" uniqueName="1">
      <xmlPr mapId="43" xpath="/ns1:Root/ns1:Prog/ns1:Target_P4_9" xmlDataType="double"/>
    </xmlCellPr>
  </singleXmlCell>
  <singleXmlCell id="762" xr6:uid="{00000000-000C-0000-FFFF-FFFF55010000}" r="L134" connectionId="0">
    <xmlCellPr id="1" xr6:uid="{00000000-0010-0000-5501-000001000000}" uniqueName="1">
      <xmlPr mapId="43" xpath="/ns1:Root/ns1:Prog/ns1:Target_P5_9" xmlDataType="double"/>
    </xmlCellPr>
  </singleXmlCell>
  <singleXmlCell id="763" xr6:uid="{00000000-000C-0000-FFFF-FFFF56010000}" r="M134" connectionId="0">
    <xmlCellPr id="1" xr6:uid="{00000000-0010-0000-5601-000001000000}" uniqueName="1">
      <xmlPr mapId="43" xpath="/ns1:Root/ns1:Prog/ns1:Target_P6_9" xmlDataType="double"/>
    </xmlCellPr>
  </singleXmlCell>
  <singleXmlCell id="764" xr6:uid="{00000000-000C-0000-FFFF-FFFF57010000}" r="N134" connectionId="0">
    <xmlCellPr id="1" xr6:uid="{00000000-0010-0000-5701-000001000000}" uniqueName="1">
      <xmlPr mapId="43" xpath="/ns1:Root/ns1:Prog/ns1:Target_P7_9" xmlDataType="double"/>
    </xmlCellPr>
  </singleXmlCell>
  <singleXmlCell id="765" xr6:uid="{00000000-000C-0000-FFFF-FFFF58010000}" r="O134" connectionId="0">
    <xmlCellPr id="1" xr6:uid="{00000000-0010-0000-5801-000001000000}" uniqueName="1">
      <xmlPr mapId="43" xpath="/ns1:Root/ns1:Prog/ns1:Target_P8_9" xmlDataType="double"/>
    </xmlCellPr>
  </singleXmlCell>
  <singleXmlCell id="766" xr6:uid="{00000000-000C-0000-FFFF-FFFF59010000}" r="P134" connectionId="0">
    <xmlCellPr id="1" xr6:uid="{00000000-0010-0000-5901-000001000000}" uniqueName="1">
      <xmlPr mapId="43" xpath="/ns1:Root/ns1:Prog/ns1:Target_P9_9" xmlDataType="double"/>
    </xmlCellPr>
  </singleXmlCell>
  <singleXmlCell id="767" xr6:uid="{00000000-000C-0000-FFFF-FFFF5A010000}" r="Q134" connectionId="0">
    <xmlCellPr id="1" xr6:uid="{00000000-0010-0000-5A01-000001000000}" uniqueName="1">
      <xmlPr mapId="43" xpath="/ns1:Root/ns1:Prog/ns1:Target_P10_9" xmlDataType="double"/>
    </xmlCellPr>
  </singleXmlCell>
  <singleXmlCell id="768" xr6:uid="{00000000-000C-0000-FFFF-FFFF5B010000}" r="R134" connectionId="0">
    <xmlCellPr id="1" xr6:uid="{00000000-0010-0000-5B01-000001000000}" uniqueName="1">
      <xmlPr mapId="43" xpath="/ns1:Root/ns1:Prog/ns1:Target_P11_9" xmlDataType="double"/>
    </xmlCellPr>
  </singleXmlCell>
  <singleXmlCell id="769" xr6:uid="{00000000-000C-0000-FFFF-FFFF5C010000}" r="S134" connectionId="0">
    <xmlCellPr id="1" xr6:uid="{00000000-0010-0000-5C01-000001000000}" uniqueName="1">
      <xmlPr mapId="43" xpath="/ns1:Root/ns1:Prog/ns1:Target_P12_9" xmlDataType="double"/>
    </xmlCellPr>
  </singleXmlCell>
  <singleXmlCell id="770" xr6:uid="{00000000-000C-0000-FFFF-FFFF5D010000}" r="H135" connectionId="0">
    <xmlCellPr id="1" xr6:uid="{00000000-0010-0000-5D01-000001000000}" uniqueName="1">
      <xmlPr mapId="43" xpath="/ns1:Root/ns1:Prog/ns1:Achieved__P1_9" xmlDataType="string"/>
    </xmlCellPr>
  </singleXmlCell>
  <singleXmlCell id="771" xr6:uid="{00000000-000C-0000-FFFF-FFFF5E010000}" r="I135" connectionId="0">
    <xmlCellPr id="1" xr6:uid="{00000000-0010-0000-5E01-000001000000}" uniqueName="1">
      <xmlPr mapId="43" xpath="/ns1:Root/ns1:Prog/ns1:Achieved__P2_9" xmlDataType="double"/>
    </xmlCellPr>
  </singleXmlCell>
  <singleXmlCell id="772" xr6:uid="{00000000-000C-0000-FFFF-FFFF5F010000}" r="J135" connectionId="0">
    <xmlCellPr id="1" xr6:uid="{00000000-0010-0000-5F01-000001000000}" uniqueName="1">
      <xmlPr mapId="43" xpath="/ns1:Root/ns1:Prog/ns1:Achieved__P3_9" xmlDataType="string"/>
    </xmlCellPr>
  </singleXmlCell>
  <singleXmlCell id="773" xr6:uid="{00000000-000C-0000-FFFF-FFFF60010000}" r="K135" connectionId="0">
    <xmlCellPr id="1" xr6:uid="{00000000-0010-0000-6001-000001000000}" uniqueName="1">
      <xmlPr mapId="43" xpath="/ns1:Root/ns1:Prog/ns1:Achieved__P4_9" xmlDataType="double"/>
    </xmlCellPr>
  </singleXmlCell>
  <singleXmlCell id="774" xr6:uid="{00000000-000C-0000-FFFF-FFFF61010000}" r="L135" connectionId="0">
    <xmlCellPr id="1" xr6:uid="{00000000-0010-0000-6101-000001000000}" uniqueName="1">
      <xmlPr mapId="43" xpath="/ns1:Root/ns1:Prog/ns1:Achieved__P5_9" xmlDataType="string"/>
    </xmlCellPr>
  </singleXmlCell>
  <singleXmlCell id="775" xr6:uid="{00000000-000C-0000-FFFF-FFFF62010000}" r="M135" connectionId="0">
    <xmlCellPr id="1" xr6:uid="{00000000-0010-0000-6201-000001000000}" uniqueName="1">
      <xmlPr mapId="43" xpath="/ns1:Root/ns1:Prog/ns1:Achieved__P6_9" xmlDataType="string"/>
    </xmlCellPr>
  </singleXmlCell>
  <singleXmlCell id="776" xr6:uid="{00000000-000C-0000-FFFF-FFFF63010000}" r="N135" connectionId="0">
    <xmlCellPr id="1" xr6:uid="{00000000-0010-0000-6301-000001000000}" uniqueName="1">
      <xmlPr mapId="43" xpath="/ns1:Root/ns1:Prog/ns1:Achieved__P7_9" xmlDataType="string"/>
    </xmlCellPr>
  </singleXmlCell>
  <singleXmlCell id="777" xr6:uid="{00000000-000C-0000-FFFF-FFFF64010000}" r="O135" connectionId="0">
    <xmlCellPr id="1" xr6:uid="{00000000-0010-0000-6401-000001000000}" uniqueName="1">
      <xmlPr mapId="43" xpath="/ns1:Root/ns1:Prog/ns1:Achieved__P8_9" xmlDataType="string"/>
    </xmlCellPr>
  </singleXmlCell>
  <singleXmlCell id="778" xr6:uid="{00000000-000C-0000-FFFF-FFFF65010000}" r="P135" connectionId="0">
    <xmlCellPr id="1" xr6:uid="{00000000-0010-0000-6501-000001000000}" uniqueName="1">
      <xmlPr mapId="43" xpath="/ns1:Root/ns1:Prog/ns1:Achieved__P9_9" xmlDataType="string"/>
    </xmlCellPr>
  </singleXmlCell>
  <singleXmlCell id="779" xr6:uid="{00000000-000C-0000-FFFF-FFFF66010000}" r="Q135" connectionId="0">
    <xmlCellPr id="1" xr6:uid="{00000000-0010-0000-6601-000001000000}" uniqueName="1">
      <xmlPr mapId="43" xpath="/ns1:Root/ns1:Prog/ns1:Achieved__P10_9" xmlDataType="string"/>
    </xmlCellPr>
  </singleXmlCell>
  <singleXmlCell id="780" xr6:uid="{00000000-000C-0000-FFFF-FFFF67010000}" r="R135" connectionId="0">
    <xmlCellPr id="1" xr6:uid="{00000000-0010-0000-6701-000001000000}" uniqueName="1">
      <xmlPr mapId="43" xpath="/ns1:Root/ns1:Prog/ns1:Achieved__P11_9" xmlDataType="string"/>
    </xmlCellPr>
  </singleXmlCell>
  <singleXmlCell id="781" xr6:uid="{00000000-000C-0000-FFFF-FFFF68010000}" r="S135" connectionId="0">
    <xmlCellPr id="1" xr6:uid="{00000000-0010-0000-6801-000001000000}" uniqueName="1">
      <xmlPr mapId="43" xpath="/ns1:Root/ns1:Prog/ns1:Achieved__P12_9" xmlDataType="string"/>
    </xmlCellPr>
  </singleXmlCell>
  <singleXmlCell id="782" xr6:uid="{00000000-000C-0000-FFFF-FFFF69010000}" r="H136" connectionId="0">
    <xmlCellPr id="1" xr6:uid="{00000000-0010-0000-6901-000001000000}" uniqueName="1">
      <xmlPr mapId="43" xpath="/ns1:Root/ns1:Prog/ns1:Target_P1" xmlDataType="string"/>
    </xmlCellPr>
  </singleXmlCell>
  <singleXmlCell id="783" xr6:uid="{00000000-000C-0000-FFFF-FFFF6A010000}" r="I136" connectionId="0">
    <xmlCellPr id="1" xr6:uid="{00000000-0010-0000-6A01-000001000000}" uniqueName="1">
      <xmlPr mapId="43" xpath="/ns1:Root/ns1:Prog/ns1:Target_P2" xmlDataType="string"/>
    </xmlCellPr>
  </singleXmlCell>
  <singleXmlCell id="784" xr6:uid="{00000000-000C-0000-FFFF-FFFF6B010000}" r="J136" connectionId="0">
    <xmlCellPr id="1" xr6:uid="{00000000-0010-0000-6B01-000001000000}" uniqueName="1">
      <xmlPr mapId="43" xpath="/ns1:Root/ns1:Prog/ns1:Target_P3" xmlDataType="string"/>
    </xmlCellPr>
  </singleXmlCell>
  <singleXmlCell id="785" xr6:uid="{00000000-000C-0000-FFFF-FFFF6C010000}" r="K136" connectionId="0">
    <xmlCellPr id="1" xr6:uid="{00000000-0010-0000-6C01-000001000000}" uniqueName="1">
      <xmlPr mapId="43" xpath="/ns1:Root/ns1:Prog/ns1:Target_P4" xmlDataType="double"/>
    </xmlCellPr>
  </singleXmlCell>
  <singleXmlCell id="786" xr6:uid="{00000000-000C-0000-FFFF-FFFF6D010000}" r="L136" connectionId="0">
    <xmlCellPr id="1" xr6:uid="{00000000-0010-0000-6D01-000001000000}" uniqueName="1">
      <xmlPr mapId="43" xpath="/ns1:Root/ns1:Prog/ns1:Target_P5" xmlDataType="string"/>
    </xmlCellPr>
  </singleXmlCell>
  <singleXmlCell id="787" xr6:uid="{00000000-000C-0000-FFFF-FFFF6E010000}" r="M136" connectionId="0">
    <xmlCellPr id="1" xr6:uid="{00000000-0010-0000-6E01-000001000000}" uniqueName="1">
      <xmlPr mapId="43" xpath="/ns1:Root/ns1:Prog/ns1:Target_P6" xmlDataType="string"/>
    </xmlCellPr>
  </singleXmlCell>
  <singleXmlCell id="788" xr6:uid="{00000000-000C-0000-FFFF-FFFF6F010000}" r="N136" connectionId="0">
    <xmlCellPr id="1" xr6:uid="{00000000-0010-0000-6F01-000001000000}" uniqueName="1">
      <xmlPr mapId="43" xpath="/ns1:Root/ns1:Prog/ns1:Target_P7" xmlDataType="string"/>
    </xmlCellPr>
  </singleXmlCell>
  <singleXmlCell id="789" xr6:uid="{00000000-000C-0000-FFFF-FFFF70010000}" r="O136" connectionId="0">
    <xmlCellPr id="1" xr6:uid="{00000000-0010-0000-7001-000001000000}" uniqueName="1">
      <xmlPr mapId="43" xpath="/ns1:Root/ns1:Prog/ns1:Target_P8" xmlDataType="string"/>
    </xmlCellPr>
  </singleXmlCell>
  <singleXmlCell id="790" xr6:uid="{00000000-000C-0000-FFFF-FFFF71010000}" r="P136" connectionId="0">
    <xmlCellPr id="1" xr6:uid="{00000000-0010-0000-7101-000001000000}" uniqueName="1">
      <xmlPr mapId="43" xpath="/ns1:Root/ns1:Prog/ns1:Target_P9" xmlDataType="string"/>
    </xmlCellPr>
  </singleXmlCell>
  <singleXmlCell id="791" xr6:uid="{00000000-000C-0000-FFFF-FFFF72010000}" r="Q136" connectionId="0">
    <xmlCellPr id="1" xr6:uid="{00000000-0010-0000-7201-000001000000}" uniqueName="1">
      <xmlPr mapId="43" xpath="/ns1:Root/ns1:Prog/ns1:Target_P10" xmlDataType="string"/>
    </xmlCellPr>
  </singleXmlCell>
  <singleXmlCell id="792" xr6:uid="{00000000-000C-0000-FFFF-FFFF73010000}" r="R136" connectionId="0">
    <xmlCellPr id="1" xr6:uid="{00000000-0010-0000-7301-000001000000}" uniqueName="1">
      <xmlPr mapId="43" xpath="/ns1:Root/ns1:Prog/ns1:Target_P11" xmlDataType="string"/>
    </xmlCellPr>
  </singleXmlCell>
  <singleXmlCell id="793" xr6:uid="{00000000-000C-0000-FFFF-FFFF74010000}" r="S136" connectionId="0">
    <xmlCellPr id="1" xr6:uid="{00000000-0010-0000-7401-000001000000}" uniqueName="1">
      <xmlPr mapId="43" xpath="/ns1:Root/ns1:Prog/ns1:Target_P12" xmlDataType="string"/>
    </xmlCellPr>
  </singleXmlCell>
  <singleXmlCell id="794" xr6:uid="{00000000-000C-0000-FFFF-FFFF75010000}" r="H137" connectionId="0">
    <xmlCellPr id="1" xr6:uid="{00000000-0010-0000-7501-000001000000}" uniqueName="1">
      <xmlPr mapId="43" xpath="/ns1:Root/ns1:Prog/ns1:Achieved__P1" xmlDataType="string"/>
    </xmlCellPr>
  </singleXmlCell>
  <singleXmlCell id="795" xr6:uid="{00000000-000C-0000-FFFF-FFFF76010000}" r="I137" connectionId="0">
    <xmlCellPr id="1" xr6:uid="{00000000-0010-0000-7601-000001000000}" uniqueName="1">
      <xmlPr mapId="43" xpath="/ns1:Root/ns1:Prog/ns1:Achieved__P2" xmlDataType="string"/>
    </xmlCellPr>
  </singleXmlCell>
  <singleXmlCell id="796" xr6:uid="{00000000-000C-0000-FFFF-FFFF77010000}" r="J137" connectionId="0">
    <xmlCellPr id="1" xr6:uid="{00000000-0010-0000-7701-000001000000}" uniqueName="1">
      <xmlPr mapId="43" xpath="/ns1:Root/ns1:Prog/ns1:Achieved__P3" xmlDataType="string"/>
    </xmlCellPr>
  </singleXmlCell>
  <singleXmlCell id="797" xr6:uid="{00000000-000C-0000-FFFF-FFFF78010000}" r="K137" connectionId="0">
    <xmlCellPr id="1" xr6:uid="{00000000-0010-0000-7801-000001000000}" uniqueName="1">
      <xmlPr mapId="43" xpath="/ns1:Root/ns1:Prog/ns1:Achieved__P4" xmlDataType="string"/>
    </xmlCellPr>
  </singleXmlCell>
  <singleXmlCell id="798" xr6:uid="{00000000-000C-0000-FFFF-FFFF79010000}" r="L137" connectionId="0">
    <xmlCellPr id="1" xr6:uid="{00000000-0010-0000-7901-000001000000}" uniqueName="1">
      <xmlPr mapId="43" xpath="/ns1:Root/ns1:Prog/ns1:Achieved__P5" xmlDataType="string"/>
    </xmlCellPr>
  </singleXmlCell>
  <singleXmlCell id="799" xr6:uid="{00000000-000C-0000-FFFF-FFFF7A010000}" r="M137" connectionId="0">
    <xmlCellPr id="1" xr6:uid="{00000000-0010-0000-7A01-000001000000}" uniqueName="1">
      <xmlPr mapId="43" xpath="/ns1:Root/ns1:Prog/ns1:Achieved__P6" xmlDataType="string"/>
    </xmlCellPr>
  </singleXmlCell>
  <singleXmlCell id="800" xr6:uid="{00000000-000C-0000-FFFF-FFFF7B010000}" r="N137" connectionId="0">
    <xmlCellPr id="1" xr6:uid="{00000000-0010-0000-7B01-000001000000}" uniqueName="1">
      <xmlPr mapId="43" xpath="/ns1:Root/ns1:Prog/ns1:Achieved__P7" xmlDataType="string"/>
    </xmlCellPr>
  </singleXmlCell>
  <singleXmlCell id="801" xr6:uid="{00000000-000C-0000-FFFF-FFFF7C010000}" r="O137" connectionId="0">
    <xmlCellPr id="1" xr6:uid="{00000000-0010-0000-7C01-000001000000}" uniqueName="1">
      <xmlPr mapId="43" xpath="/ns1:Root/ns1:Prog/ns1:Achieved__P8" xmlDataType="string"/>
    </xmlCellPr>
  </singleXmlCell>
  <singleXmlCell id="802" xr6:uid="{00000000-000C-0000-FFFF-FFFF7D010000}" r="P137" connectionId="0">
    <xmlCellPr id="1" xr6:uid="{00000000-0010-0000-7D01-000001000000}" uniqueName="1">
      <xmlPr mapId="43" xpath="/ns1:Root/ns1:Prog/ns1:Achieved__P9" xmlDataType="string"/>
    </xmlCellPr>
  </singleXmlCell>
  <singleXmlCell id="803" xr6:uid="{00000000-000C-0000-FFFF-FFFF7E010000}" r="Q137" connectionId="0">
    <xmlCellPr id="1" xr6:uid="{00000000-0010-0000-7E01-000001000000}" uniqueName="1">
      <xmlPr mapId="43" xpath="/ns1:Root/ns1:Prog/ns1:Achieved__P10" xmlDataType="string"/>
    </xmlCellPr>
  </singleXmlCell>
  <singleXmlCell id="804" xr6:uid="{00000000-000C-0000-FFFF-FFFF7F010000}" r="R137" connectionId="0">
    <xmlCellPr id="1" xr6:uid="{00000000-0010-0000-7F01-000001000000}" uniqueName="1">
      <xmlPr mapId="43" xpath="/ns1:Root/ns1:Prog/ns1:Achieved__P11" xmlDataType="string"/>
    </xmlCellPr>
  </singleXmlCell>
  <singleXmlCell id="805" xr6:uid="{00000000-000C-0000-FFFF-FFFF80010000}" r="S137" connectionId="0">
    <xmlCellPr id="1" xr6:uid="{00000000-0010-0000-8001-000001000000}" uniqueName="1">
      <xmlPr mapId="43" xpath="/ns1:Root/ns1:Prog/ns1:Achieved__P12" xmlDataType="string"/>
    </xmlCellPr>
  </singleXmlCell>
  <singleXmlCell id="806" xr6:uid="{00000000-000C-0000-FFFF-FFFF81010000}" r="K120" connectionId="0">
    <xmlCellPr id="1" xr6:uid="{00000000-0010-0000-8101-000001000000}" uniqueName="1">
      <xmlPr mapId="43" xpath="/ns1:Root/ns1:Prog/ns1:Target_P4_2" xmlDataType="double"/>
    </xmlCellPr>
  </singleXmlCell>
  <singleXmlCell id="807" xr6:uid="{00000000-000C-0000-FFFF-FFFF82010000}" r="B118" connectionId="0">
    <xmlCellPr id="1" xr6:uid="{00000000-0010-0000-8201-000001000000}" uniqueName="1">
      <xmlPr mapId="43" xpath="/ns1:Root/ns1:P1" xmlDataType="string"/>
    </xmlCellPr>
  </singleXmlCell>
  <singleXmlCell id="808" xr6:uid="{00000000-000C-0000-FFFF-FFFF83010000}" r="E118" connectionId="0">
    <xmlCellPr id="1" xr6:uid="{00000000-0010-0000-8301-000001000000}" uniqueName="1">
      <xmlPr mapId="43" xpath="/ns1:Root/ns1:P1_Code" xmlDataType="double"/>
    </xmlCellPr>
  </singleXmlCell>
  <singleXmlCell id="809" xr6:uid="{00000000-000C-0000-FFFF-FFFF84010000}" r="F118" connectionId="0">
    <xmlCellPr id="1" xr6:uid="{00000000-0010-0000-8401-000001000000}" uniqueName="1">
      <xmlPr mapId="43" xpath="/ns1:Root/ns1:P1_Tied" xmlDataType="string"/>
    </xmlCellPr>
  </singleXmlCell>
  <singleXmlCell id="810" xr6:uid="{00000000-000C-0000-FFFF-FFFF85010000}" r="B120" connectionId="0">
    <xmlCellPr id="1" xr6:uid="{00000000-0010-0000-8501-000001000000}" uniqueName="1">
      <xmlPr mapId="43" xpath="/ns1:Root/ns1:P2" xmlDataType="string"/>
    </xmlCellPr>
  </singleXmlCell>
  <singleXmlCell id="811" xr6:uid="{00000000-000C-0000-FFFF-FFFF86010000}" r="E120" connectionId="0">
    <xmlCellPr id="1" xr6:uid="{00000000-0010-0000-8601-000001000000}" uniqueName="1">
      <xmlPr mapId="43" xpath="/ns1:Root/ns1:P2_Code" xmlDataType="double"/>
    </xmlCellPr>
  </singleXmlCell>
  <singleXmlCell id="812" xr6:uid="{00000000-000C-0000-FFFF-FFFF87010000}" r="F120" connectionId="0">
    <xmlCellPr id="1" xr6:uid="{00000000-0010-0000-8701-000001000000}" uniqueName="1">
      <xmlPr mapId="43" xpath="/ns1:Root/ns1:P2_Tied" xmlDataType="string"/>
    </xmlCellPr>
  </singleXmlCell>
  <singleXmlCell id="813" xr6:uid="{00000000-000C-0000-FFFF-FFFF88010000}" r="B122" connectionId="0">
    <xmlCellPr id="1" xr6:uid="{00000000-0010-0000-8801-000001000000}" uniqueName="1">
      <xmlPr mapId="43" xpath="/ns1:Root/ns1:P3" xmlDataType="string"/>
    </xmlCellPr>
  </singleXmlCell>
  <singleXmlCell id="814" xr6:uid="{00000000-000C-0000-FFFF-FFFF89010000}" r="E122" connectionId="0">
    <xmlCellPr id="1" xr6:uid="{00000000-0010-0000-8901-000001000000}" uniqueName="1">
      <xmlPr mapId="43" xpath="/ns1:Root/ns1:P3_Code" xmlDataType="double"/>
    </xmlCellPr>
  </singleXmlCell>
  <singleXmlCell id="815" xr6:uid="{00000000-000C-0000-FFFF-FFFF8A010000}" r="F122" connectionId="0">
    <xmlCellPr id="1" xr6:uid="{00000000-0010-0000-8A01-000001000000}" uniqueName="1">
      <xmlPr mapId="43" xpath="/ns1:Root/ns1:P3_Tied" xmlDataType="string"/>
    </xmlCellPr>
  </singleXmlCell>
  <singleXmlCell id="816" xr6:uid="{00000000-000C-0000-FFFF-FFFF8B010000}" r="B124" connectionId="0">
    <xmlCellPr id="1" xr6:uid="{00000000-0010-0000-8B01-000001000000}" uniqueName="1">
      <xmlPr mapId="43" xpath="/ns1:Root/ns1:P4" xmlDataType="string"/>
    </xmlCellPr>
  </singleXmlCell>
  <singleXmlCell id="817" xr6:uid="{00000000-000C-0000-FFFF-FFFF8C010000}" r="E124" connectionId="0">
    <xmlCellPr id="1" xr6:uid="{00000000-0010-0000-8C01-000001000000}" uniqueName="1">
      <xmlPr mapId="43" xpath="/ns1:Root/ns1:P4_Code" xmlDataType="double"/>
    </xmlCellPr>
  </singleXmlCell>
  <singleXmlCell id="818" xr6:uid="{00000000-000C-0000-FFFF-FFFF8D010000}" r="F124" connectionId="0">
    <xmlCellPr id="1" xr6:uid="{00000000-0010-0000-8D01-000001000000}" uniqueName="1">
      <xmlPr mapId="43" xpath="/ns1:Root/ns1:P4_Tied" xmlDataType="string"/>
    </xmlCellPr>
  </singleXmlCell>
  <singleXmlCell id="819" xr6:uid="{00000000-000C-0000-FFFF-FFFF8E010000}" r="B126" connectionId="0">
    <xmlCellPr id="1" xr6:uid="{00000000-0010-0000-8E01-000001000000}" uniqueName="1">
      <xmlPr mapId="43" xpath="/ns1:Root/ns1:P5" xmlDataType="string"/>
    </xmlCellPr>
  </singleXmlCell>
  <singleXmlCell id="820" xr6:uid="{00000000-000C-0000-FFFF-FFFF8F010000}" r="E126" connectionId="0">
    <xmlCellPr id="1" xr6:uid="{00000000-0010-0000-8F01-000001000000}" uniqueName="1">
      <xmlPr mapId="43" xpath="/ns1:Root/ns1:P5_Code" xmlDataType="double"/>
    </xmlCellPr>
  </singleXmlCell>
  <singleXmlCell id="821" xr6:uid="{00000000-000C-0000-FFFF-FFFF90010000}" r="F126" connectionId="0">
    <xmlCellPr id="1" xr6:uid="{00000000-0010-0000-9001-000001000000}" uniqueName="1">
      <xmlPr mapId="43" xpath="/ns1:Root/ns1:P5_Tied" xmlDataType="string"/>
    </xmlCellPr>
  </singleXmlCell>
  <singleXmlCell id="822" xr6:uid="{00000000-000C-0000-FFFF-FFFF91010000}" r="B128" connectionId="0">
    <xmlCellPr id="1" xr6:uid="{00000000-0010-0000-9101-000001000000}" uniqueName="1">
      <xmlPr mapId="43" xpath="/ns1:Root/ns1:P6" xmlDataType="string"/>
    </xmlCellPr>
  </singleXmlCell>
  <singleXmlCell id="823" xr6:uid="{00000000-000C-0000-FFFF-FFFF92010000}" r="E128" connectionId="0">
    <xmlCellPr id="1" xr6:uid="{00000000-0010-0000-9201-000001000000}" uniqueName="1">
      <xmlPr mapId="43" xpath="/ns1:Root/ns1:P6_Code" xmlDataType="double"/>
    </xmlCellPr>
  </singleXmlCell>
  <singleXmlCell id="824" xr6:uid="{00000000-000C-0000-FFFF-FFFF93010000}" r="F128" connectionId="0">
    <xmlCellPr id="1" xr6:uid="{00000000-0010-0000-9301-000001000000}" uniqueName="1">
      <xmlPr mapId="43" xpath="/ns1:Root/ns1:P6_Tied" xmlDataType="string"/>
    </xmlCellPr>
  </singleXmlCell>
  <singleXmlCell id="825" xr6:uid="{00000000-000C-0000-FFFF-FFFF94010000}" r="B130" connectionId="0">
    <xmlCellPr id="1" xr6:uid="{00000000-0010-0000-9401-000001000000}" uniqueName="1">
      <xmlPr mapId="43" xpath="/ns1:Root/ns1:P7" xmlDataType="string"/>
    </xmlCellPr>
  </singleXmlCell>
  <singleXmlCell id="826" xr6:uid="{00000000-000C-0000-FFFF-FFFF95010000}" r="E130" connectionId="0">
    <xmlCellPr id="1" xr6:uid="{00000000-0010-0000-9501-000001000000}" uniqueName="1">
      <xmlPr mapId="43" xpath="/ns1:Root/ns1:P7_Code" xmlDataType="double"/>
    </xmlCellPr>
  </singleXmlCell>
  <singleXmlCell id="827" xr6:uid="{00000000-000C-0000-FFFF-FFFF96010000}" r="F130" connectionId="0">
    <xmlCellPr id="1" xr6:uid="{00000000-0010-0000-9601-000001000000}" uniqueName="1">
      <xmlPr mapId="43" xpath="/ns1:Root/ns1:P7_Tied" xmlDataType="string"/>
    </xmlCellPr>
  </singleXmlCell>
  <singleXmlCell id="828" xr6:uid="{00000000-000C-0000-FFFF-FFFF97010000}" r="B132" connectionId="0">
    <xmlCellPr id="1" xr6:uid="{00000000-0010-0000-9701-000001000000}" uniqueName="1">
      <xmlPr mapId="43" xpath="/ns1:Root/ns1:P8" xmlDataType="string"/>
    </xmlCellPr>
  </singleXmlCell>
  <singleXmlCell id="829" xr6:uid="{00000000-000C-0000-FFFF-FFFF98010000}" r="E132" connectionId="0">
    <xmlCellPr id="1" xr6:uid="{00000000-0010-0000-9801-000001000000}" uniqueName="1">
      <xmlPr mapId="43" xpath="/ns1:Root/ns1:P8_Code" xmlDataType="double"/>
    </xmlCellPr>
  </singleXmlCell>
  <singleXmlCell id="830" xr6:uid="{00000000-000C-0000-FFFF-FFFF99010000}" r="F132" connectionId="0">
    <xmlCellPr id="1" xr6:uid="{00000000-0010-0000-9901-000001000000}" uniqueName="1">
      <xmlPr mapId="43" xpath="/ns1:Root/ns1:P8_Tied" xmlDataType="string"/>
    </xmlCellPr>
  </singleXmlCell>
  <singleXmlCell id="831" xr6:uid="{00000000-000C-0000-FFFF-FFFF9A010000}" r="B134" connectionId="0">
    <xmlCellPr id="1" xr6:uid="{00000000-0010-0000-9A01-000001000000}" uniqueName="1">
      <xmlPr mapId="43" xpath="/ns1:Root/ns1:P9" xmlDataType="string"/>
    </xmlCellPr>
  </singleXmlCell>
  <singleXmlCell id="832" xr6:uid="{00000000-000C-0000-FFFF-FFFF9B010000}" r="E134" connectionId="0">
    <xmlCellPr id="1" xr6:uid="{00000000-0010-0000-9B01-000001000000}" uniqueName="1">
      <xmlPr mapId="43" xpath="/ns1:Root/ns1:P9_Code" xmlDataType="double"/>
    </xmlCellPr>
  </singleXmlCell>
  <singleXmlCell id="833" xr6:uid="{00000000-000C-0000-FFFF-FFFF9C010000}" r="F134" connectionId="0">
    <xmlCellPr id="1" xr6:uid="{00000000-0010-0000-9C01-000001000000}" uniqueName="1">
      <xmlPr mapId="43" xpath="/ns1:Root/ns1:P9_Tied" xmlDataType="double"/>
    </xmlCellPr>
  </singleXmlCell>
  <singleXmlCell id="834" xr6:uid="{00000000-000C-0000-FFFF-FFFF9D010000}" r="B136" connectionId="0">
    <xmlCellPr id="1" xr6:uid="{00000000-0010-0000-9D01-000001000000}" uniqueName="1">
      <xmlPr mapId="43" xpath="/ns1:Root/ns1:P10" xmlDataType="string"/>
    </xmlCellPr>
  </singleXmlCell>
  <singleXmlCell id="835" xr6:uid="{00000000-000C-0000-FFFF-FFFF9E010000}" r="E136" connectionId="0">
    <xmlCellPr id="1" xr6:uid="{00000000-0010-0000-9E01-000001000000}" uniqueName="1">
      <xmlPr mapId="43" xpath="/ns1:Root/ns1:P10_Code" xmlDataType="double"/>
    </xmlCellPr>
  </singleXmlCell>
  <singleXmlCell id="836" xr6:uid="{00000000-000C-0000-FFFF-FFFF9F010000}" r="F136" connectionId="0">
    <xmlCellPr id="1" xr6:uid="{00000000-0010-0000-9F01-000001000000}" uniqueName="1">
      <xmlPr mapId="43" xpath="/ns1:Root/ns1:P10_Tied" xmlDataType="string"/>
    </xmlCellPr>
  </singleXmlCell>
  <singleXmlCell id="837" xr6:uid="{00000000-000C-0000-FFFF-FFFFA0010000}" r="D26" connectionId="0">
    <xmlCellPr id="1" xr6:uid="{00000000-0010-0000-A001-000001000000}"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B1:O4"/>
  <sheetViews>
    <sheetView showGridLines="0" showRowColHeaders="0" tabSelected="1" zoomScale="90" zoomScaleNormal="90" workbookViewId="0">
      <selection activeCell="H4" sqref="H4"/>
    </sheetView>
  </sheetViews>
  <sheetFormatPr baseColWidth="10" defaultColWidth="9.140625" defaultRowHeight="15"/>
  <cols>
    <col min="1" max="1" width="1.140625" customWidth="1"/>
    <col min="2" max="10" width="11.42578125" customWidth="1"/>
    <col min="11" max="11" width="1.7109375" customWidth="1"/>
  </cols>
  <sheetData>
    <row r="1" spans="2:15" ht="25.5" customHeight="1"/>
    <row r="2" spans="2:15" ht="36">
      <c r="B2" s="502" t="str">
        <f>+'[1]Información de la subvención'!B3:J3</f>
        <v>Tablero de mando:  Ficticia - VIH / SIDA</v>
      </c>
      <c r="C2" s="502"/>
      <c r="D2" s="502"/>
      <c r="E2" s="502"/>
      <c r="F2" s="502"/>
      <c r="G2" s="502"/>
      <c r="H2" s="502"/>
      <c r="I2" s="502"/>
      <c r="J2" s="502"/>
      <c r="K2" s="502"/>
      <c r="L2" s="502"/>
      <c r="M2" s="501"/>
      <c r="N2" s="501"/>
      <c r="O2" s="501"/>
    </row>
    <row r="4" spans="2:15" ht="21">
      <c r="B4" s="503" t="str">
        <f>+'Introducción de datos'!G6&amp;"  "&amp;+'Introducción de datos'!G8&amp;",  "&amp;+'Introducción de datos'!I8</f>
        <v>VIH / SIDA  Seleccionar,  Seleccionar</v>
      </c>
      <c r="C4" s="503"/>
      <c r="D4" s="503"/>
      <c r="E4" s="504"/>
      <c r="F4" s="207"/>
      <c r="G4" s="207"/>
      <c r="H4" s="302" t="str">
        <f>+'[1]Introducción de datos'!B6&amp;" "&amp;+'[1]Introducción de datos'!C6</f>
        <v>Subvención nº: FIC-910-G01-H</v>
      </c>
      <c r="I4" s="302"/>
      <c r="J4" s="206"/>
      <c r="K4" s="207"/>
      <c r="L4" s="207"/>
    </row>
  </sheetData>
  <mergeCells count="2">
    <mergeCell ref="B2:L2"/>
    <mergeCell ref="B4:E4"/>
  </mergeCells>
  <phoneticPr fontId="30" type="noConversion"/>
  <pageMargins left="0.70866141732283472" right="0.70866141732283472" top="0.74803149606299213" bottom="0.74803149606299213" header="0.31496062992125984" footer="0.31496062992125984"/>
  <pageSetup paperSize="9"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O48"/>
  <sheetViews>
    <sheetView showGridLines="0" topLeftCell="B1" zoomScale="80" zoomScaleNormal="80" workbookViewId="0">
      <selection activeCell="H29" sqref="H29"/>
    </sheetView>
  </sheetViews>
  <sheetFormatPr baseColWidth="10" defaultColWidth="9.140625"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904" t="str">
        <f>'Información de la subvención'!B3:J3</f>
        <v>Tablero de mando:  Perú - VIH / SIDA</v>
      </c>
      <c r="C3" s="904"/>
      <c r="D3" s="904"/>
      <c r="E3" s="904"/>
      <c r="F3" s="904"/>
      <c r="G3" s="904"/>
      <c r="H3" s="904"/>
      <c r="I3" s="1"/>
    </row>
    <row r="6" spans="2:15" ht="18.75">
      <c r="B6" s="905" t="s">
        <v>191</v>
      </c>
      <c r="C6" s="905"/>
      <c r="D6" s="905"/>
      <c r="E6" s="905"/>
      <c r="F6" s="905"/>
      <c r="G6" s="905"/>
      <c r="H6" s="905"/>
    </row>
    <row r="8" spans="2:15" ht="18.75">
      <c r="B8" s="61" t="s">
        <v>114</v>
      </c>
      <c r="C8" s="61" t="s">
        <v>117</v>
      </c>
      <c r="D8" s="61" t="s">
        <v>118</v>
      </c>
      <c r="E8" s="61" t="s">
        <v>119</v>
      </c>
      <c r="F8" s="61" t="s">
        <v>181</v>
      </c>
      <c r="G8" s="61" t="s">
        <v>179</v>
      </c>
      <c r="H8" s="61" t="s">
        <v>183</v>
      </c>
      <c r="I8" s="62" t="s">
        <v>145</v>
      </c>
      <c r="J8" s="62" t="s">
        <v>163</v>
      </c>
      <c r="M8" s="19"/>
      <c r="N8" s="19"/>
      <c r="O8" s="19"/>
    </row>
    <row r="9" spans="2:15">
      <c r="B9" s="458" t="s">
        <v>276</v>
      </c>
      <c r="C9" s="458" t="s">
        <v>276</v>
      </c>
      <c r="D9" s="458" t="s">
        <v>276</v>
      </c>
      <c r="E9" s="458" t="s">
        <v>276</v>
      </c>
      <c r="F9" s="458" t="s">
        <v>276</v>
      </c>
      <c r="G9" s="458" t="s">
        <v>276</v>
      </c>
      <c r="H9" s="458" t="s">
        <v>276</v>
      </c>
      <c r="I9" s="459" t="s">
        <v>276</v>
      </c>
      <c r="J9" s="458" t="s">
        <v>276</v>
      </c>
      <c r="M9" s="19"/>
      <c r="N9" s="19"/>
      <c r="O9" s="19"/>
    </row>
    <row r="10" spans="2:15">
      <c r="B10" s="56" t="s">
        <v>320</v>
      </c>
      <c r="C10" s="56" t="s">
        <v>112</v>
      </c>
      <c r="D10" s="56" t="s">
        <v>231</v>
      </c>
      <c r="E10" s="56" t="s">
        <v>241</v>
      </c>
      <c r="F10" s="56" t="s">
        <v>150</v>
      </c>
      <c r="G10" s="370" t="s">
        <v>120</v>
      </c>
      <c r="H10" s="59" t="s">
        <v>125</v>
      </c>
      <c r="I10" s="27" t="s">
        <v>184</v>
      </c>
      <c r="J10" s="83" t="s">
        <v>216</v>
      </c>
      <c r="M10" s="19"/>
      <c r="N10" s="19"/>
      <c r="O10" s="19"/>
    </row>
    <row r="11" spans="2:15">
      <c r="B11" s="56" t="s">
        <v>115</v>
      </c>
      <c r="C11" s="56" t="s">
        <v>111</v>
      </c>
      <c r="D11" s="56" t="s">
        <v>232</v>
      </c>
      <c r="E11" s="56" t="s">
        <v>242</v>
      </c>
      <c r="F11" s="56" t="s">
        <v>151</v>
      </c>
      <c r="G11" s="370" t="s">
        <v>121</v>
      </c>
      <c r="H11" s="59" t="s">
        <v>126</v>
      </c>
      <c r="I11" s="27" t="s">
        <v>185</v>
      </c>
      <c r="J11" s="83" t="s">
        <v>217</v>
      </c>
      <c r="M11" s="19"/>
      <c r="N11" s="19"/>
      <c r="O11" s="19"/>
    </row>
    <row r="12" spans="2:15">
      <c r="B12" s="56" t="s">
        <v>116</v>
      </c>
      <c r="D12" s="56" t="s">
        <v>233</v>
      </c>
      <c r="E12" s="56" t="s">
        <v>113</v>
      </c>
      <c r="F12" s="56" t="s">
        <v>152</v>
      </c>
      <c r="G12" s="370" t="s">
        <v>122</v>
      </c>
      <c r="H12" s="59" t="s">
        <v>127</v>
      </c>
      <c r="I12" s="27" t="s">
        <v>186</v>
      </c>
      <c r="J12" s="83" t="s">
        <v>164</v>
      </c>
      <c r="M12" s="176"/>
      <c r="N12" s="19"/>
      <c r="O12" s="19"/>
    </row>
    <row r="13" spans="2:15">
      <c r="B13" s="56" t="s">
        <v>321</v>
      </c>
      <c r="D13" s="56" t="s">
        <v>234</v>
      </c>
      <c r="E13" s="57"/>
      <c r="F13" s="56" t="s">
        <v>153</v>
      </c>
      <c r="G13" s="370" t="s">
        <v>123</v>
      </c>
      <c r="H13" s="59" t="s">
        <v>128</v>
      </c>
      <c r="I13" s="27" t="s">
        <v>187</v>
      </c>
      <c r="J13" s="83" t="s">
        <v>218</v>
      </c>
      <c r="M13" s="176"/>
      <c r="N13" s="19"/>
      <c r="O13" s="19"/>
    </row>
    <row r="14" spans="2:15">
      <c r="B14" s="56" t="s">
        <v>322</v>
      </c>
      <c r="D14" s="56" t="s">
        <v>235</v>
      </c>
      <c r="F14" s="56" t="s">
        <v>156</v>
      </c>
      <c r="G14" s="370" t="s">
        <v>124</v>
      </c>
      <c r="H14" s="59" t="s">
        <v>129</v>
      </c>
      <c r="I14" s="27" t="s">
        <v>180</v>
      </c>
      <c r="J14" s="83" t="s">
        <v>219</v>
      </c>
      <c r="M14" s="176"/>
      <c r="N14" s="19"/>
      <c r="O14" s="19"/>
    </row>
    <row r="15" spans="2:15">
      <c r="D15" s="56" t="s">
        <v>236</v>
      </c>
      <c r="F15" s="56" t="s">
        <v>157</v>
      </c>
      <c r="H15" s="59" t="s">
        <v>130</v>
      </c>
      <c r="I15" s="27" t="s">
        <v>136</v>
      </c>
      <c r="J15" s="83" t="s">
        <v>220</v>
      </c>
      <c r="M15" s="176"/>
      <c r="N15" s="19"/>
      <c r="O15" s="19"/>
    </row>
    <row r="16" spans="2:15">
      <c r="D16" s="56" t="s">
        <v>237</v>
      </c>
      <c r="F16" s="56" t="s">
        <v>158</v>
      </c>
      <c r="H16" s="59" t="s">
        <v>131</v>
      </c>
      <c r="I16" s="27" t="s">
        <v>137</v>
      </c>
      <c r="J16" s="83" t="s">
        <v>221</v>
      </c>
      <c r="M16" s="176"/>
      <c r="N16" s="19"/>
      <c r="O16" s="19"/>
    </row>
    <row r="17" spans="4:15">
      <c r="D17" s="56" t="s">
        <v>238</v>
      </c>
      <c r="F17" s="56" t="s">
        <v>159</v>
      </c>
      <c r="H17" s="59" t="s">
        <v>132</v>
      </c>
      <c r="I17" s="27" t="s">
        <v>138</v>
      </c>
      <c r="J17" s="83" t="s">
        <v>222</v>
      </c>
      <c r="M17" s="176"/>
      <c r="N17" s="19"/>
      <c r="O17" s="19"/>
    </row>
    <row r="18" spans="4:15">
      <c r="D18" s="56" t="s">
        <v>239</v>
      </c>
      <c r="F18" s="56" t="s">
        <v>160</v>
      </c>
      <c r="H18" s="59" t="s">
        <v>133</v>
      </c>
      <c r="I18" s="27" t="s">
        <v>139</v>
      </c>
      <c r="J18" s="83" t="s">
        <v>165</v>
      </c>
      <c r="M18" s="176"/>
      <c r="N18" s="19"/>
      <c r="O18" s="19"/>
    </row>
    <row r="19" spans="4:15">
      <c r="D19" s="56" t="s">
        <v>240</v>
      </c>
      <c r="F19" s="56" t="s">
        <v>161</v>
      </c>
      <c r="H19" s="59" t="s">
        <v>134</v>
      </c>
      <c r="I19" s="27" t="s">
        <v>140</v>
      </c>
      <c r="J19" s="83" t="s">
        <v>223</v>
      </c>
      <c r="M19" s="176"/>
      <c r="N19" s="19"/>
      <c r="O19" s="19"/>
    </row>
    <row r="20" spans="4:15">
      <c r="D20" s="58"/>
      <c r="F20" s="56" t="s">
        <v>162</v>
      </c>
      <c r="H20" s="59" t="s">
        <v>178</v>
      </c>
      <c r="I20" s="27" t="s">
        <v>141</v>
      </c>
      <c r="J20" s="83" t="s">
        <v>224</v>
      </c>
      <c r="M20" s="19"/>
      <c r="N20" s="19"/>
      <c r="O20" s="19"/>
    </row>
    <row r="21" spans="4:15">
      <c r="D21" s="60"/>
      <c r="F21" s="56" t="s">
        <v>182</v>
      </c>
      <c r="H21" s="60"/>
      <c r="I21" s="27" t="s">
        <v>143</v>
      </c>
      <c r="J21" s="83" t="s">
        <v>166</v>
      </c>
      <c r="M21" s="19"/>
      <c r="N21" s="19"/>
      <c r="O21" s="19"/>
    </row>
    <row r="22" spans="4:15">
      <c r="H22" s="60"/>
      <c r="I22" s="27" t="s">
        <v>144</v>
      </c>
      <c r="J22" s="83" t="s">
        <v>167</v>
      </c>
      <c r="M22" s="19"/>
      <c r="N22" s="19"/>
      <c r="O22" s="19"/>
    </row>
    <row r="23" spans="4:15">
      <c r="I23" s="27" t="s">
        <v>142</v>
      </c>
      <c r="J23" s="83" t="s">
        <v>168</v>
      </c>
      <c r="M23" s="19"/>
      <c r="N23" s="19"/>
      <c r="O23" s="19"/>
    </row>
    <row r="24" spans="4:15">
      <c r="I24" s="27" t="s">
        <v>189</v>
      </c>
      <c r="J24" s="83" t="s">
        <v>169</v>
      </c>
      <c r="M24" s="19"/>
      <c r="N24" s="19"/>
      <c r="O24" s="19"/>
    </row>
    <row r="25" spans="4:15">
      <c r="I25" s="45"/>
      <c r="J25" s="83" t="s">
        <v>225</v>
      </c>
    </row>
    <row r="26" spans="4:15">
      <c r="I26" s="27" t="s">
        <v>190</v>
      </c>
      <c r="J26" s="83" t="s">
        <v>170</v>
      </c>
    </row>
    <row r="27" spans="4:15">
      <c r="I27" s="27" t="s">
        <v>188</v>
      </c>
      <c r="J27" s="83" t="s">
        <v>171</v>
      </c>
    </row>
    <row r="28" spans="4:15">
      <c r="I28" s="45" t="s">
        <v>317</v>
      </c>
      <c r="J28" s="83" t="s">
        <v>226</v>
      </c>
    </row>
    <row r="29" spans="4:15">
      <c r="I29" s="45" t="s">
        <v>318</v>
      </c>
      <c r="J29" s="83" t="s">
        <v>227</v>
      </c>
    </row>
    <row r="30" spans="4:15">
      <c r="I30" s="45" t="s">
        <v>319</v>
      </c>
      <c r="J30" s="83" t="s">
        <v>172</v>
      </c>
    </row>
    <row r="31" spans="4:15">
      <c r="J31" s="83" t="s">
        <v>173</v>
      </c>
    </row>
    <row r="32" spans="4:15">
      <c r="J32" s="83" t="s">
        <v>228</v>
      </c>
    </row>
    <row r="33" spans="10:10">
      <c r="J33" s="83" t="s">
        <v>174</v>
      </c>
    </row>
    <row r="34" spans="10:10">
      <c r="J34" s="83" t="s">
        <v>175</v>
      </c>
    </row>
    <row r="35" spans="10:10">
      <c r="J35" s="83" t="s">
        <v>229</v>
      </c>
    </row>
    <row r="36" spans="10:10">
      <c r="J36" s="83" t="s">
        <v>176</v>
      </c>
    </row>
    <row r="37" spans="10:10">
      <c r="J37" s="83" t="s">
        <v>230</v>
      </c>
    </row>
    <row r="38" spans="10:10">
      <c r="J38" s="83" t="s">
        <v>177</v>
      </c>
    </row>
    <row r="39" spans="10:10">
      <c r="J39" s="83" t="s">
        <v>247</v>
      </c>
    </row>
    <row r="40" spans="10:10">
      <c r="J40" s="83" t="s">
        <v>248</v>
      </c>
    </row>
    <row r="41" spans="10:10">
      <c r="J41" s="83" t="s">
        <v>249</v>
      </c>
    </row>
    <row r="42" spans="10:10">
      <c r="J42" s="83" t="s">
        <v>250</v>
      </c>
    </row>
    <row r="43" spans="10:10">
      <c r="J43" s="83" t="s">
        <v>251</v>
      </c>
    </row>
    <row r="44" spans="10:10">
      <c r="J44" s="83" t="s">
        <v>252</v>
      </c>
    </row>
    <row r="45" spans="10:10">
      <c r="J45" s="83" t="s">
        <v>253</v>
      </c>
    </row>
    <row r="46" spans="10:10">
      <c r="J46" s="83" t="s">
        <v>254</v>
      </c>
    </row>
    <row r="47" spans="10:10">
      <c r="J47" s="83" t="s">
        <v>255</v>
      </c>
    </row>
    <row r="48" spans="10:10">
      <c r="J48" s="83" t="s">
        <v>256</v>
      </c>
    </row>
  </sheetData>
  <mergeCells count="2">
    <mergeCell ref="B3:H3"/>
    <mergeCell ref="B6:H6"/>
  </mergeCells>
  <phoneticPr fontId="30" type="noConversion"/>
  <dataValidations count="1">
    <dataValidation type="list" allowBlank="1" showInputMessage="1" showErrorMessage="1" sqref="M28" xr:uid="{00000000-0002-0000-0900-000000000000}">
      <formula1>$J$10:$J$48</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BH57"/>
  <sheetViews>
    <sheetView showGridLines="0" topLeftCell="B1" zoomScale="70" zoomScaleNormal="70" workbookViewId="0">
      <pane ySplit="2" topLeftCell="A22" activePane="bottomLeft" state="frozen"/>
      <selection activeCell="E22" sqref="E22"/>
      <selection pane="bottomLeft" activeCell="M23" sqref="M23:O24"/>
    </sheetView>
  </sheetViews>
  <sheetFormatPr baseColWidth="10" defaultColWidth="9.140625"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5703125" style="36" customWidth="1"/>
    <col min="15" max="15" width="3" style="36" customWidth="1"/>
    <col min="16" max="16" width="2.5703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60" ht="34.5" customHeight="1">
      <c r="A1" s="3"/>
      <c r="B1" s="3"/>
      <c r="C1" s="3"/>
      <c r="D1" s="3"/>
      <c r="E1" s="3"/>
      <c r="F1" s="3"/>
      <c r="G1" s="3"/>
      <c r="H1" s="3"/>
      <c r="I1" s="3"/>
      <c r="J1" s="3"/>
      <c r="K1" s="3"/>
      <c r="L1" s="3"/>
      <c r="M1" s="3"/>
    </row>
    <row r="2" spans="1:60" ht="36" customHeight="1">
      <c r="A2" s="3"/>
      <c r="B2" s="505" t="str">
        <f>+"Cuadro de mando:  "&amp;"  "&amp;+'Introducción de datos'!C4&amp;" - "&amp;'Introducción de datos'!G6</f>
        <v>Cuadro de mando:    Perú - VIH / SIDA</v>
      </c>
      <c r="C2" s="505"/>
      <c r="D2" s="505"/>
      <c r="E2" s="505"/>
      <c r="F2" s="505"/>
      <c r="G2" s="505"/>
      <c r="H2" s="505"/>
      <c r="I2" s="505"/>
      <c r="J2" s="505"/>
      <c r="K2" s="505"/>
      <c r="L2" s="505"/>
      <c r="M2" s="505"/>
    </row>
    <row r="3" spans="1:60" ht="15.75" customHeight="1">
      <c r="A3" s="3"/>
      <c r="B3" s="198"/>
      <c r="C3" s="198"/>
      <c r="D3" s="198"/>
      <c r="E3" s="198"/>
      <c r="F3" s="198"/>
      <c r="G3" s="198"/>
      <c r="H3" s="198"/>
      <c r="I3" s="198"/>
      <c r="J3" s="198"/>
      <c r="K3" s="199"/>
      <c r="L3" s="199"/>
      <c r="M3" s="3"/>
    </row>
    <row r="5" spans="1:60" ht="23.25">
      <c r="B5" s="506" t="s">
        <v>257</v>
      </c>
      <c r="C5" s="507"/>
      <c r="D5" s="507"/>
      <c r="E5" s="507"/>
      <c r="F5" s="507"/>
      <c r="G5" s="507"/>
      <c r="H5" s="507"/>
      <c r="I5" s="507"/>
      <c r="J5" s="507"/>
      <c r="K5" s="507"/>
      <c r="L5" s="507"/>
      <c r="M5" s="507"/>
      <c r="N5" s="507"/>
      <c r="O5" s="507"/>
    </row>
    <row r="7" spans="1:60" ht="21">
      <c r="B7" s="511" t="s">
        <v>192</v>
      </c>
      <c r="C7" s="512"/>
      <c r="D7" s="513"/>
      <c r="E7" s="511" t="s">
        <v>193</v>
      </c>
      <c r="F7" s="512"/>
      <c r="G7" s="512"/>
      <c r="H7" s="512"/>
      <c r="I7" s="513"/>
      <c r="J7" s="511" t="s">
        <v>194</v>
      </c>
      <c r="K7" s="512"/>
      <c r="L7" s="513"/>
      <c r="M7" s="511" t="s">
        <v>195</v>
      </c>
      <c r="N7" s="512"/>
      <c r="O7" s="513"/>
    </row>
    <row r="8" spans="1:60" ht="92.25" customHeight="1">
      <c r="B8" s="514" t="str">
        <f>+'Introducción de datos'!B27</f>
        <v>F1: Presupuesto y desembolsos del Fondo Mundial</v>
      </c>
      <c r="C8" s="515"/>
      <c r="D8" s="516"/>
      <c r="E8" s="517" t="s">
        <v>267</v>
      </c>
      <c r="F8" s="518"/>
      <c r="G8" s="518"/>
      <c r="H8" s="518"/>
      <c r="I8" s="519"/>
      <c r="J8" s="508" t="s">
        <v>215</v>
      </c>
      <c r="K8" s="509"/>
      <c r="L8" s="510"/>
      <c r="M8" s="508" t="s">
        <v>259</v>
      </c>
      <c r="N8" s="509"/>
      <c r="O8" s="510"/>
    </row>
    <row r="9" spans="1:60" ht="117.75" customHeight="1">
      <c r="B9" s="514" t="str">
        <f>+'Introducción de datos'!B36</f>
        <v>F2: Presupuesto y gastos reales por objetivo de la subvención</v>
      </c>
      <c r="C9" s="515"/>
      <c r="D9" s="516"/>
      <c r="E9" s="531" t="s">
        <v>268</v>
      </c>
      <c r="F9" s="532"/>
      <c r="G9" s="532"/>
      <c r="H9" s="532"/>
      <c r="I9" s="533"/>
      <c r="J9" s="527" t="s">
        <v>196</v>
      </c>
      <c r="K9" s="509"/>
      <c r="L9" s="510"/>
      <c r="M9" s="527" t="s">
        <v>259</v>
      </c>
      <c r="N9" s="509"/>
      <c r="O9" s="510"/>
    </row>
    <row r="10" spans="1:60" ht="233.25" customHeight="1">
      <c r="B10" s="524" t="str">
        <f>+'Introducción de datos'!B49</f>
        <v>F3: Desembolsos y gastos</v>
      </c>
      <c r="C10" s="529"/>
      <c r="D10" s="530"/>
      <c r="E10" s="520" t="s">
        <v>265</v>
      </c>
      <c r="F10" s="521"/>
      <c r="G10" s="521"/>
      <c r="H10" s="521"/>
      <c r="I10" s="522"/>
      <c r="J10" s="528" t="s">
        <v>110</v>
      </c>
      <c r="K10" s="509"/>
      <c r="L10" s="510"/>
      <c r="M10" s="527" t="s">
        <v>260</v>
      </c>
      <c r="N10" s="509"/>
      <c r="O10" s="510"/>
    </row>
    <row r="11" spans="1:60" ht="279.75" customHeight="1">
      <c r="B11" s="524" t="str">
        <f>+'Introducción de datos'!B58</f>
        <v>F4: Último ciclo de información y desembolso del RP</v>
      </c>
      <c r="C11" s="525"/>
      <c r="D11" s="526"/>
      <c r="E11" s="520" t="s">
        <v>266</v>
      </c>
      <c r="F11" s="521"/>
      <c r="G11" s="521"/>
      <c r="H11" s="521"/>
      <c r="I11" s="522"/>
      <c r="J11" s="528" t="s">
        <v>101</v>
      </c>
      <c r="K11" s="509"/>
      <c r="L11" s="510"/>
      <c r="M11" s="527" t="s">
        <v>0</v>
      </c>
      <c r="N11" s="509"/>
      <c r="O11" s="510"/>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4"/>
      <c r="AY11" s="444"/>
      <c r="AZ11" s="444"/>
      <c r="BA11" s="444"/>
      <c r="BB11" s="444"/>
      <c r="BC11" s="444"/>
      <c r="BD11" s="444"/>
      <c r="BE11" s="444"/>
      <c r="BF11" s="444"/>
      <c r="BG11" s="444"/>
      <c r="BH11" s="444"/>
    </row>
    <row r="12" spans="1:60" s="19" customFormat="1">
      <c r="B12" s="540"/>
      <c r="C12" s="540"/>
      <c r="D12" s="540"/>
      <c r="E12" s="539"/>
      <c r="F12" s="539"/>
      <c r="G12" s="539"/>
      <c r="H12" s="539"/>
      <c r="I12" s="539"/>
      <c r="J12" s="539"/>
      <c r="K12" s="539"/>
      <c r="L12" s="539"/>
      <c r="M12" s="539"/>
      <c r="N12" s="539"/>
      <c r="O12" s="539"/>
      <c r="S12" s="445"/>
      <c r="T12" s="445"/>
      <c r="U12" s="445"/>
      <c r="V12" s="445"/>
      <c r="W12" s="445"/>
      <c r="X12" s="445"/>
      <c r="Y12" s="445"/>
      <c r="Z12" s="445"/>
      <c r="AA12" s="445"/>
      <c r="AB12" s="445"/>
      <c r="AC12" s="445"/>
      <c r="AD12" s="445"/>
      <c r="AE12" s="445"/>
      <c r="AF12" s="445"/>
      <c r="AG12" s="445"/>
      <c r="AH12" s="445"/>
      <c r="AI12" s="445"/>
      <c r="AJ12" s="445"/>
      <c r="AK12" s="445"/>
      <c r="AL12" s="445"/>
      <c r="AM12" s="445"/>
      <c r="AN12" s="445"/>
      <c r="AO12" s="445"/>
      <c r="AP12" s="445"/>
      <c r="AQ12" s="445"/>
      <c r="AR12" s="445"/>
      <c r="AS12" s="445"/>
      <c r="AT12" s="445"/>
      <c r="AU12" s="445"/>
      <c r="AV12" s="445"/>
      <c r="AW12" s="445"/>
      <c r="AX12" s="445"/>
      <c r="AY12" s="445"/>
      <c r="AZ12" s="445"/>
      <c r="BA12" s="445"/>
      <c r="BB12" s="445"/>
      <c r="BC12" s="445"/>
      <c r="BD12" s="445"/>
      <c r="BE12" s="445"/>
      <c r="BF12" s="445"/>
      <c r="BG12" s="445"/>
      <c r="BH12" s="445"/>
    </row>
    <row r="13" spans="1:60" s="19" customFormat="1">
      <c r="B13" s="523"/>
      <c r="C13" s="523"/>
      <c r="D13" s="523"/>
      <c r="E13" s="541"/>
      <c r="F13" s="541"/>
      <c r="G13" s="541"/>
      <c r="H13" s="541"/>
      <c r="I13" s="541"/>
      <c r="J13" s="541"/>
      <c r="K13" s="541"/>
      <c r="L13" s="541"/>
      <c r="M13" s="541"/>
      <c r="N13" s="541"/>
      <c r="O13" s="541"/>
      <c r="S13" s="445"/>
      <c r="T13" s="445"/>
      <c r="U13" s="445"/>
      <c r="V13" s="445"/>
      <c r="W13" s="445"/>
      <c r="X13" s="445"/>
      <c r="Y13" s="445"/>
      <c r="Z13" s="445"/>
      <c r="AA13" s="445"/>
      <c r="AB13" s="445"/>
      <c r="AC13" s="445"/>
      <c r="AD13" s="445"/>
      <c r="AE13" s="445"/>
      <c r="AF13" s="445"/>
      <c r="AG13" s="445"/>
      <c r="AH13" s="445"/>
      <c r="AI13" s="445"/>
      <c r="AJ13" s="445"/>
      <c r="AK13" s="445"/>
      <c r="AL13" s="445"/>
      <c r="AM13" s="445"/>
      <c r="AN13" s="445"/>
      <c r="AO13" s="445"/>
      <c r="AP13" s="445"/>
      <c r="AQ13" s="445"/>
      <c r="AR13" s="445"/>
      <c r="AS13" s="445"/>
      <c r="AT13" s="445"/>
      <c r="AU13" s="445"/>
      <c r="AV13" s="445"/>
      <c r="AW13" s="445"/>
      <c r="AX13" s="445"/>
      <c r="AY13" s="445"/>
      <c r="AZ13" s="445"/>
      <c r="BA13" s="445"/>
      <c r="BB13" s="445"/>
      <c r="BC13" s="445"/>
      <c r="BD13" s="445"/>
      <c r="BE13" s="445"/>
      <c r="BF13" s="445"/>
      <c r="BG13" s="445"/>
      <c r="BH13" s="445"/>
    </row>
    <row r="14" spans="1:60" s="19" customFormat="1">
      <c r="B14" s="523"/>
      <c r="C14" s="523"/>
      <c r="D14" s="523"/>
      <c r="E14" s="541"/>
      <c r="F14" s="541"/>
      <c r="G14" s="541"/>
      <c r="H14" s="541"/>
      <c r="I14" s="541"/>
      <c r="J14" s="541"/>
      <c r="K14" s="541"/>
      <c r="L14" s="541"/>
      <c r="M14" s="541"/>
      <c r="N14" s="541"/>
      <c r="O14" s="541"/>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5"/>
      <c r="AY14" s="445"/>
      <c r="AZ14" s="445"/>
      <c r="BA14" s="445"/>
      <c r="BB14" s="445"/>
      <c r="BC14" s="445"/>
      <c r="BD14" s="445"/>
      <c r="BE14" s="445"/>
      <c r="BF14" s="445"/>
      <c r="BG14" s="445"/>
      <c r="BH14" s="445"/>
    </row>
    <row r="15" spans="1:60" s="19" customFormat="1">
      <c r="B15" s="523"/>
      <c r="C15" s="523"/>
      <c r="D15" s="523"/>
      <c r="E15" s="541"/>
      <c r="F15" s="541"/>
      <c r="G15" s="541"/>
      <c r="H15" s="541"/>
      <c r="I15" s="541"/>
      <c r="J15" s="541"/>
      <c r="K15" s="541"/>
      <c r="L15" s="541"/>
      <c r="M15" s="541"/>
      <c r="N15" s="541"/>
      <c r="O15" s="541"/>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c r="AP15" s="445"/>
      <c r="AQ15" s="445"/>
      <c r="AR15" s="445"/>
      <c r="AS15" s="445"/>
      <c r="AT15" s="445"/>
      <c r="AU15" s="445"/>
      <c r="AV15" s="445"/>
      <c r="AW15" s="445"/>
      <c r="AX15" s="445"/>
      <c r="AY15" s="445"/>
      <c r="AZ15" s="445"/>
      <c r="BA15" s="445"/>
      <c r="BB15" s="445"/>
      <c r="BC15" s="445"/>
      <c r="BD15" s="445"/>
      <c r="BE15" s="445"/>
      <c r="BF15" s="445"/>
      <c r="BG15" s="445"/>
      <c r="BH15" s="445"/>
    </row>
    <row r="16" spans="1:60" ht="23.25">
      <c r="B16" s="506" t="s">
        <v>198</v>
      </c>
      <c r="C16" s="507"/>
      <c r="D16" s="507"/>
      <c r="E16" s="507"/>
      <c r="F16" s="507"/>
      <c r="G16" s="507"/>
      <c r="H16" s="507"/>
      <c r="I16" s="507"/>
      <c r="J16" s="507"/>
      <c r="K16" s="507"/>
      <c r="L16" s="507"/>
      <c r="M16" s="507"/>
      <c r="N16" s="507"/>
      <c r="O16" s="507"/>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c r="AT16" s="444"/>
      <c r="AU16" s="444"/>
      <c r="AV16" s="444"/>
      <c r="AW16" s="444"/>
      <c r="AX16" s="444"/>
      <c r="AY16" s="444"/>
      <c r="AZ16" s="444"/>
      <c r="BA16" s="444"/>
      <c r="BB16" s="444"/>
      <c r="BC16" s="444"/>
      <c r="BD16" s="444"/>
      <c r="BE16" s="444"/>
      <c r="BF16" s="444"/>
      <c r="BG16" s="444"/>
      <c r="BH16" s="444"/>
    </row>
    <row r="17" spans="1:60">
      <c r="S17" s="444"/>
      <c r="T17" s="444"/>
      <c r="U17" s="444"/>
      <c r="V17" s="444"/>
      <c r="W17" s="444"/>
      <c r="X17" s="444"/>
      <c r="Y17" s="444"/>
      <c r="Z17" s="444"/>
      <c r="AA17" s="444"/>
      <c r="AB17" s="444"/>
      <c r="AC17" s="444"/>
      <c r="AD17" s="444"/>
      <c r="AE17" s="444"/>
      <c r="AF17" s="444"/>
      <c r="AG17" s="444"/>
      <c r="AH17" s="444"/>
      <c r="AI17" s="444"/>
      <c r="AJ17" s="444"/>
      <c r="AK17" s="444"/>
      <c r="AL17" s="444"/>
      <c r="AM17" s="444"/>
      <c r="AN17" s="444"/>
      <c r="AO17" s="444"/>
      <c r="AP17" s="444"/>
      <c r="AQ17" s="444"/>
      <c r="AR17" s="444"/>
      <c r="AS17" s="444"/>
      <c r="AT17" s="444"/>
      <c r="AU17" s="444"/>
      <c r="AV17" s="444"/>
      <c r="AW17" s="444"/>
      <c r="AX17" s="444"/>
      <c r="AY17" s="444"/>
      <c r="AZ17" s="444"/>
      <c r="BA17" s="444"/>
      <c r="BB17" s="444"/>
      <c r="BC17" s="444"/>
      <c r="BD17" s="444"/>
      <c r="BE17" s="444"/>
      <c r="BF17" s="444"/>
      <c r="BG17" s="444"/>
      <c r="BH17" s="444"/>
    </row>
    <row r="18" spans="1:60" ht="21">
      <c r="B18" s="536" t="s">
        <v>192</v>
      </c>
      <c r="C18" s="537"/>
      <c r="D18" s="538"/>
      <c r="E18" s="536" t="s">
        <v>193</v>
      </c>
      <c r="F18" s="537"/>
      <c r="G18" s="537"/>
      <c r="H18" s="537"/>
      <c r="I18" s="538"/>
      <c r="J18" s="536" t="s">
        <v>194</v>
      </c>
      <c r="K18" s="537"/>
      <c r="L18" s="538"/>
      <c r="M18" s="536" t="s">
        <v>102</v>
      </c>
      <c r="N18" s="537"/>
      <c r="O18" s="538"/>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44"/>
      <c r="AP18" s="444"/>
      <c r="AQ18" s="444"/>
      <c r="AR18" s="444"/>
      <c r="AS18" s="444"/>
      <c r="AT18" s="444"/>
      <c r="AU18" s="444"/>
      <c r="AV18" s="444"/>
      <c r="AW18" s="444"/>
      <c r="AX18" s="444"/>
      <c r="AY18" s="444"/>
      <c r="AZ18" s="444"/>
      <c r="BA18" s="444"/>
      <c r="BB18" s="444"/>
      <c r="BC18" s="444"/>
      <c r="BD18" s="444"/>
      <c r="BE18" s="444"/>
      <c r="BF18" s="444"/>
      <c r="BG18" s="444"/>
      <c r="BH18" s="444"/>
    </row>
    <row r="19" spans="1:60" ht="149.25" customHeight="1">
      <c r="B19" s="514" t="str">
        <f>+'Introducción de datos'!B69</f>
        <v>M1: Estado de las condiciones precedentes y acciones con fecha límite</v>
      </c>
      <c r="C19" s="534"/>
      <c r="D19" s="535"/>
      <c r="E19" s="520" t="s">
        <v>297</v>
      </c>
      <c r="F19" s="521"/>
      <c r="G19" s="521"/>
      <c r="H19" s="521"/>
      <c r="I19" s="522"/>
      <c r="J19" s="527" t="s">
        <v>298</v>
      </c>
      <c r="K19" s="509"/>
      <c r="L19" s="510"/>
      <c r="M19" s="527" t="s">
        <v>261</v>
      </c>
      <c r="N19" s="509"/>
      <c r="O19" s="510"/>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444"/>
      <c r="BD19" s="444"/>
      <c r="BE19" s="444"/>
      <c r="BF19" s="444"/>
      <c r="BG19" s="444"/>
      <c r="BH19" s="444"/>
    </row>
    <row r="20" spans="1:60" ht="102.75" customHeight="1">
      <c r="B20" s="514" t="str">
        <f>+'Introducción de datos'!B76</f>
        <v>M2: Estado de los principales puestos directivos del RP</v>
      </c>
      <c r="C20" s="534"/>
      <c r="D20" s="535"/>
      <c r="E20" s="520" t="s">
        <v>269</v>
      </c>
      <c r="F20" s="521"/>
      <c r="G20" s="521"/>
      <c r="H20" s="521"/>
      <c r="I20" s="522"/>
      <c r="J20" s="527" t="s">
        <v>103</v>
      </c>
      <c r="K20" s="509"/>
      <c r="L20" s="510"/>
      <c r="M20" s="527" t="s">
        <v>104</v>
      </c>
      <c r="N20" s="509"/>
      <c r="O20" s="510"/>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c r="BA20" s="444"/>
      <c r="BB20" s="444"/>
      <c r="BC20" s="444"/>
      <c r="BD20" s="444"/>
      <c r="BE20" s="444"/>
      <c r="BF20" s="444"/>
      <c r="BG20" s="444"/>
      <c r="BH20" s="444"/>
    </row>
    <row r="21" spans="1:60" ht="137.25" customHeight="1">
      <c r="B21" s="514" t="str">
        <f>+'Introducción de datos'!B81</f>
        <v xml:space="preserve">M3: Acuerdos contractuales (subreceptores) </v>
      </c>
      <c r="C21" s="534"/>
      <c r="D21" s="535"/>
      <c r="E21" s="531" t="s">
        <v>271</v>
      </c>
      <c r="F21" s="521"/>
      <c r="G21" s="521"/>
      <c r="H21" s="521"/>
      <c r="I21" s="522"/>
      <c r="J21" s="527" t="s">
        <v>105</v>
      </c>
      <c r="K21" s="509"/>
      <c r="L21" s="510"/>
      <c r="M21" s="527" t="s">
        <v>262</v>
      </c>
      <c r="N21" s="509"/>
      <c r="O21" s="510"/>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4"/>
      <c r="AY21" s="444"/>
      <c r="AZ21" s="444"/>
      <c r="BA21" s="444"/>
      <c r="BB21" s="444"/>
      <c r="BC21" s="444"/>
      <c r="BD21" s="444"/>
      <c r="BE21" s="444"/>
      <c r="BF21" s="444"/>
      <c r="BG21" s="444"/>
      <c r="BH21" s="444"/>
    </row>
    <row r="22" spans="1:60" ht="74.25" customHeight="1">
      <c r="B22" s="514" t="str">
        <f>+'Introducción de datos'!B86</f>
        <v>M4: Número de informes completos recibidos a tiempo</v>
      </c>
      <c r="C22" s="534"/>
      <c r="D22" s="535"/>
      <c r="E22" s="592" t="s">
        <v>106</v>
      </c>
      <c r="F22" s="532"/>
      <c r="G22" s="532"/>
      <c r="H22" s="532"/>
      <c r="I22" s="533"/>
      <c r="J22" s="528" t="s">
        <v>107</v>
      </c>
      <c r="K22" s="509"/>
      <c r="L22" s="510"/>
      <c r="M22" s="527" t="s">
        <v>108</v>
      </c>
      <c r="N22" s="509"/>
      <c r="O22" s="510"/>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4"/>
      <c r="AQ22" s="444"/>
      <c r="AR22" s="444"/>
      <c r="AS22" s="444"/>
      <c r="AT22" s="444"/>
      <c r="AU22" s="444"/>
      <c r="AV22" s="444"/>
      <c r="AW22" s="444"/>
      <c r="AX22" s="444"/>
      <c r="AY22" s="444"/>
      <c r="AZ22" s="444"/>
      <c r="BA22" s="444"/>
      <c r="BB22" s="444"/>
      <c r="BC22" s="444"/>
      <c r="BD22" s="444"/>
      <c r="BE22" s="444"/>
      <c r="BF22" s="444"/>
      <c r="BG22" s="444"/>
      <c r="BH22" s="444"/>
    </row>
    <row r="23" spans="1:60" ht="207.75" customHeight="1">
      <c r="B23" s="560" t="str">
        <f>+'Introducción de datos'!B92</f>
        <v>M5: Presupuesto y compra de productos y equipo sanitario, medicamentos y productos farmacéuticos</v>
      </c>
      <c r="C23" s="561"/>
      <c r="D23" s="562"/>
      <c r="E23" s="577" t="s">
        <v>299</v>
      </c>
      <c r="F23" s="578"/>
      <c r="G23" s="578"/>
      <c r="H23" s="578"/>
      <c r="I23" s="579"/>
      <c r="J23" s="571" t="s">
        <v>109</v>
      </c>
      <c r="K23" s="572"/>
      <c r="L23" s="573"/>
      <c r="M23" s="571" t="s">
        <v>263</v>
      </c>
      <c r="N23" s="572"/>
      <c r="O23" s="573"/>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44"/>
      <c r="BE23" s="444"/>
      <c r="BF23" s="444"/>
      <c r="BG23" s="444"/>
      <c r="BH23" s="444"/>
    </row>
    <row r="24" spans="1:60" ht="114.75" customHeight="1">
      <c r="B24" s="563"/>
      <c r="C24" s="564"/>
      <c r="D24" s="565"/>
      <c r="E24" s="583" t="s">
        <v>300</v>
      </c>
      <c r="F24" s="584"/>
      <c r="G24" s="584"/>
      <c r="H24" s="584"/>
      <c r="I24" s="585"/>
      <c r="J24" s="574"/>
      <c r="K24" s="575"/>
      <c r="L24" s="576"/>
      <c r="M24" s="574"/>
      <c r="N24" s="575"/>
      <c r="O24" s="576"/>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c r="AQ24" s="444"/>
      <c r="AR24" s="444"/>
      <c r="AS24" s="444"/>
      <c r="AT24" s="444"/>
      <c r="AU24" s="444"/>
      <c r="AV24" s="444"/>
      <c r="AW24" s="444"/>
      <c r="AX24" s="444"/>
      <c r="AY24" s="444"/>
      <c r="AZ24" s="444"/>
      <c r="BA24" s="444"/>
      <c r="BB24" s="444"/>
      <c r="BC24" s="444"/>
      <c r="BD24" s="444"/>
      <c r="BE24" s="444"/>
      <c r="BF24" s="444"/>
      <c r="BG24" s="444"/>
      <c r="BH24" s="444"/>
    </row>
    <row r="25" spans="1:60" ht="206.25" customHeight="1">
      <c r="B25" s="514" t="str">
        <f>+'Introducción de datos'!B105</f>
        <v>M6: Diferencia entre existencias actuales y existencias de seguridad</v>
      </c>
      <c r="C25" s="534"/>
      <c r="D25" s="535"/>
      <c r="E25" s="580" t="s">
        <v>301</v>
      </c>
      <c r="F25" s="581"/>
      <c r="G25" s="581"/>
      <c r="H25" s="581"/>
      <c r="I25" s="582"/>
      <c r="J25" s="586" t="s">
        <v>14</v>
      </c>
      <c r="K25" s="587"/>
      <c r="L25" s="588"/>
      <c r="M25" s="589" t="s">
        <v>264</v>
      </c>
      <c r="N25" s="590"/>
      <c r="O25" s="591"/>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4"/>
      <c r="AQ25" s="444"/>
      <c r="AR25" s="444"/>
      <c r="AS25" s="444"/>
      <c r="AT25" s="444"/>
      <c r="AU25" s="444"/>
      <c r="AV25" s="444"/>
      <c r="AW25" s="444"/>
      <c r="AX25" s="444"/>
      <c r="AY25" s="444"/>
      <c r="AZ25" s="444"/>
      <c r="BA25" s="444"/>
      <c r="BB25" s="444"/>
      <c r="BC25" s="444"/>
      <c r="BD25" s="444"/>
      <c r="BE25" s="444"/>
      <c r="BF25" s="444"/>
      <c r="BG25" s="444"/>
      <c r="BH25" s="444"/>
    </row>
    <row r="26" spans="1:60">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444"/>
      <c r="AT26" s="444"/>
      <c r="AU26" s="444"/>
      <c r="AV26" s="444"/>
      <c r="AW26" s="444"/>
      <c r="AX26" s="444"/>
      <c r="AY26" s="444"/>
      <c r="AZ26" s="444"/>
      <c r="BA26" s="444"/>
      <c r="BB26" s="444"/>
      <c r="BC26" s="444"/>
      <c r="BD26" s="444"/>
      <c r="BE26" s="444"/>
      <c r="BF26" s="444"/>
      <c r="BG26" s="444"/>
      <c r="BH26" s="444"/>
    </row>
    <row r="27" spans="1:60">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444"/>
      <c r="AS27" s="444"/>
      <c r="AT27" s="444"/>
      <c r="AU27" s="444"/>
      <c r="AV27" s="444"/>
      <c r="AW27" s="444"/>
      <c r="AX27" s="444"/>
      <c r="AY27" s="444"/>
      <c r="AZ27" s="444"/>
      <c r="BA27" s="444"/>
      <c r="BB27" s="444"/>
      <c r="BC27" s="444"/>
      <c r="BD27" s="444"/>
      <c r="BE27" s="444"/>
      <c r="BF27" s="444"/>
      <c r="BG27" s="444"/>
      <c r="BH27" s="444"/>
    </row>
    <row r="28" spans="1:60">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4"/>
      <c r="BC28" s="444"/>
      <c r="BD28" s="444"/>
      <c r="BE28" s="444"/>
      <c r="BF28" s="444"/>
      <c r="BG28" s="444"/>
      <c r="BH28" s="444"/>
    </row>
    <row r="29" spans="1:60" ht="18.75">
      <c r="B29" s="231"/>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4"/>
      <c r="BC29" s="444"/>
      <c r="BD29" s="444"/>
      <c r="BE29" s="444"/>
      <c r="BF29" s="444"/>
      <c r="BG29" s="444"/>
      <c r="BH29" s="444"/>
    </row>
    <row r="30" spans="1:60" ht="23.25">
      <c r="B30" s="506" t="s">
        <v>258</v>
      </c>
      <c r="C30" s="507"/>
      <c r="D30" s="507"/>
      <c r="E30" s="507"/>
      <c r="F30" s="507"/>
      <c r="G30" s="507"/>
      <c r="H30" s="507"/>
      <c r="I30" s="507"/>
      <c r="J30" s="507"/>
      <c r="K30" s="507"/>
      <c r="L30" s="507"/>
      <c r="M30" s="507"/>
      <c r="N30" s="507"/>
      <c r="O30" s="507"/>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row>
    <row r="31" spans="1:60">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c r="BE31" s="444"/>
      <c r="BF31" s="444"/>
      <c r="BG31" s="444"/>
      <c r="BH31" s="444"/>
    </row>
    <row r="32" spans="1:60" ht="28.5" customHeight="1">
      <c r="A32" s="222"/>
      <c r="B32" s="545" t="s">
        <v>15</v>
      </c>
      <c r="C32" s="546"/>
      <c r="D32" s="547"/>
      <c r="E32" s="548" t="s">
        <v>270</v>
      </c>
      <c r="F32" s="549"/>
      <c r="G32" s="549"/>
      <c r="H32" s="549"/>
      <c r="I32" s="550"/>
      <c r="J32" s="548" t="s">
        <v>194</v>
      </c>
      <c r="K32" s="549"/>
      <c r="L32" s="550"/>
      <c r="M32" s="548" t="s">
        <v>102</v>
      </c>
      <c r="N32" s="549"/>
      <c r="O32" s="550"/>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4"/>
      <c r="AY32" s="444"/>
      <c r="AZ32" s="444"/>
      <c r="BA32" s="444"/>
      <c r="BB32" s="444"/>
      <c r="BC32" s="444"/>
      <c r="BD32" s="444"/>
      <c r="BE32" s="444"/>
      <c r="BF32" s="444"/>
      <c r="BG32" s="444"/>
      <c r="BH32" s="444"/>
    </row>
    <row r="33" spans="1:60" ht="47.25" customHeight="1">
      <c r="A33" s="223"/>
      <c r="B33" s="566"/>
      <c r="C33" s="567"/>
      <c r="D33" s="568"/>
      <c r="E33" s="551"/>
      <c r="F33" s="552"/>
      <c r="G33" s="552"/>
      <c r="H33" s="552"/>
      <c r="I33" s="553"/>
      <c r="J33" s="554"/>
      <c r="K33" s="555"/>
      <c r="L33" s="556"/>
      <c r="M33" s="554"/>
      <c r="N33" s="555"/>
      <c r="O33" s="556"/>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4"/>
      <c r="BC33" s="444"/>
      <c r="BD33" s="444"/>
      <c r="BE33" s="444"/>
      <c r="BF33" s="444"/>
      <c r="BG33" s="444"/>
      <c r="BH33" s="444"/>
    </row>
    <row r="34" spans="1:60" ht="59.25" customHeight="1">
      <c r="A34" s="223"/>
      <c r="B34" s="566"/>
      <c r="C34" s="567"/>
      <c r="D34" s="568"/>
      <c r="E34" s="551"/>
      <c r="F34" s="552"/>
      <c r="G34" s="552"/>
      <c r="H34" s="552"/>
      <c r="I34" s="553"/>
      <c r="J34" s="554"/>
      <c r="K34" s="555"/>
      <c r="L34" s="556"/>
      <c r="M34" s="554"/>
      <c r="N34" s="555"/>
      <c r="O34" s="556"/>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4"/>
      <c r="AP34" s="444"/>
      <c r="AQ34" s="444"/>
      <c r="AR34" s="444"/>
      <c r="AS34" s="444"/>
      <c r="AT34" s="444"/>
      <c r="AU34" s="444"/>
      <c r="AV34" s="444"/>
      <c r="AW34" s="444"/>
      <c r="AX34" s="444"/>
      <c r="AY34" s="444"/>
      <c r="AZ34" s="444"/>
      <c r="BA34" s="444"/>
      <c r="BB34" s="444"/>
      <c r="BC34" s="444"/>
      <c r="BD34" s="444"/>
      <c r="BE34" s="444"/>
      <c r="BF34" s="444"/>
      <c r="BG34" s="444"/>
      <c r="BH34" s="444"/>
    </row>
    <row r="35" spans="1:60" ht="57.75" customHeight="1">
      <c r="A35" s="223"/>
      <c r="B35" s="566"/>
      <c r="C35" s="567"/>
      <c r="D35" s="568"/>
      <c r="E35" s="554"/>
      <c r="F35" s="555"/>
      <c r="G35" s="555"/>
      <c r="H35" s="555"/>
      <c r="I35" s="556"/>
      <c r="J35" s="554"/>
      <c r="K35" s="555"/>
      <c r="L35" s="556"/>
      <c r="M35" s="554"/>
      <c r="N35" s="555"/>
      <c r="O35" s="556"/>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4"/>
      <c r="AY35" s="444"/>
      <c r="AZ35" s="444"/>
      <c r="BA35" s="444"/>
      <c r="BB35" s="444"/>
      <c r="BC35" s="444"/>
      <c r="BD35" s="444"/>
      <c r="BE35" s="444"/>
      <c r="BF35" s="444"/>
      <c r="BG35" s="444"/>
      <c r="BH35" s="444"/>
    </row>
    <row r="36" spans="1:60" ht="9.75" customHeight="1">
      <c r="A36" s="223"/>
      <c r="B36" s="593"/>
      <c r="C36" s="594"/>
      <c r="D36" s="595"/>
      <c r="E36" s="224"/>
      <c r="F36" s="225"/>
      <c r="G36" s="225"/>
      <c r="H36" s="225"/>
      <c r="I36" s="226"/>
      <c r="J36" s="244"/>
      <c r="K36" s="245"/>
      <c r="L36" s="246"/>
      <c r="M36" s="244"/>
      <c r="N36" s="245"/>
      <c r="O36" s="246"/>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c r="BH36" s="444"/>
    </row>
    <row r="37" spans="1:60" ht="46.5" customHeight="1">
      <c r="A37" s="223"/>
      <c r="B37" s="566"/>
      <c r="C37" s="567"/>
      <c r="D37" s="568"/>
      <c r="E37" s="554"/>
      <c r="F37" s="569"/>
      <c r="G37" s="569"/>
      <c r="H37" s="569"/>
      <c r="I37" s="570"/>
      <c r="J37" s="239"/>
      <c r="K37" s="240"/>
      <c r="L37" s="241"/>
      <c r="M37" s="239"/>
      <c r="N37" s="240"/>
      <c r="O37" s="241"/>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4"/>
      <c r="AZ37" s="444"/>
      <c r="BA37" s="444"/>
      <c r="BB37" s="444"/>
      <c r="BC37" s="444"/>
      <c r="BD37" s="444"/>
      <c r="BE37" s="444"/>
      <c r="BF37" s="444"/>
      <c r="BG37" s="444"/>
      <c r="BH37" s="444"/>
    </row>
    <row r="38" spans="1:60" ht="69" customHeight="1">
      <c r="A38" s="223"/>
      <c r="B38" s="566"/>
      <c r="C38" s="567"/>
      <c r="D38" s="568"/>
      <c r="E38" s="551"/>
      <c r="F38" s="552"/>
      <c r="G38" s="552"/>
      <c r="H38" s="552"/>
      <c r="I38" s="553"/>
      <c r="J38" s="554"/>
      <c r="K38" s="555"/>
      <c r="L38" s="556"/>
      <c r="M38" s="554"/>
      <c r="N38" s="555"/>
      <c r="O38" s="556"/>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444"/>
      <c r="BF38" s="444"/>
      <c r="BG38" s="444"/>
      <c r="BH38" s="444"/>
    </row>
    <row r="39" spans="1:60" ht="64.5" customHeight="1">
      <c r="A39" s="223"/>
      <c r="B39" s="596"/>
      <c r="C39" s="597"/>
      <c r="D39" s="598"/>
      <c r="E39" s="554"/>
      <c r="F39" s="555"/>
      <c r="G39" s="555"/>
      <c r="H39" s="555"/>
      <c r="I39" s="556"/>
      <c r="J39" s="239"/>
      <c r="K39" s="240"/>
      <c r="L39" s="241"/>
      <c r="M39" s="239"/>
      <c r="N39" s="240"/>
      <c r="O39" s="241"/>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4"/>
      <c r="AY39" s="444"/>
      <c r="AZ39" s="444"/>
      <c r="BA39" s="444"/>
      <c r="BB39" s="444"/>
      <c r="BC39" s="444"/>
      <c r="BD39" s="444"/>
      <c r="BE39" s="444"/>
      <c r="BF39" s="444"/>
      <c r="BG39" s="444"/>
      <c r="BH39" s="444"/>
    </row>
    <row r="40" spans="1:60" ht="45" customHeight="1">
      <c r="A40" s="223"/>
      <c r="B40" s="602"/>
      <c r="C40" s="603"/>
      <c r="D40" s="604"/>
      <c r="E40" s="599"/>
      <c r="F40" s="600"/>
      <c r="G40" s="600"/>
      <c r="H40" s="600"/>
      <c r="I40" s="601"/>
      <c r="J40" s="554"/>
      <c r="K40" s="555"/>
      <c r="L40" s="556"/>
      <c r="M40" s="554"/>
      <c r="N40" s="555"/>
      <c r="O40" s="556"/>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444"/>
      <c r="AP40" s="444"/>
      <c r="AQ40" s="444"/>
      <c r="AR40" s="444"/>
      <c r="AS40" s="444"/>
      <c r="AT40" s="444"/>
      <c r="AU40" s="444"/>
      <c r="AV40" s="444"/>
      <c r="AW40" s="444"/>
      <c r="AX40" s="444"/>
      <c r="AY40" s="444"/>
      <c r="AZ40" s="444"/>
      <c r="BA40" s="444"/>
      <c r="BB40" s="444"/>
      <c r="BC40" s="444"/>
      <c r="BD40" s="444"/>
      <c r="BE40" s="444"/>
      <c r="BF40" s="444"/>
      <c r="BG40" s="444"/>
      <c r="BH40" s="444"/>
    </row>
    <row r="41" spans="1:60" ht="62.25" customHeight="1">
      <c r="A41" s="223"/>
      <c r="B41" s="596"/>
      <c r="C41" s="597"/>
      <c r="D41" s="598"/>
      <c r="E41" s="551"/>
      <c r="F41" s="552"/>
      <c r="G41" s="552"/>
      <c r="H41" s="552"/>
      <c r="I41" s="553"/>
      <c r="J41" s="554"/>
      <c r="K41" s="555"/>
      <c r="L41" s="556"/>
      <c r="M41" s="554"/>
      <c r="N41" s="555"/>
      <c r="O41" s="556"/>
      <c r="S41" s="444"/>
      <c r="T41" s="444"/>
      <c r="U41" s="444"/>
      <c r="V41" s="444"/>
      <c r="W41" s="444"/>
      <c r="X41" s="444"/>
      <c r="Y41" s="444"/>
      <c r="Z41" s="444"/>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4"/>
      <c r="AX41" s="444"/>
      <c r="AY41" s="444"/>
      <c r="AZ41" s="444"/>
      <c r="BA41" s="444"/>
      <c r="BB41" s="444"/>
      <c r="BC41" s="444"/>
      <c r="BD41" s="444"/>
      <c r="BE41" s="444"/>
      <c r="BF41" s="444"/>
      <c r="BG41" s="444"/>
      <c r="BH41" s="444"/>
    </row>
    <row r="42" spans="1:60" ht="84" customHeight="1">
      <c r="A42" s="223"/>
      <c r="B42" s="596"/>
      <c r="C42" s="597"/>
      <c r="D42" s="598"/>
      <c r="E42" s="554"/>
      <c r="F42" s="555"/>
      <c r="G42" s="555"/>
      <c r="H42" s="555"/>
      <c r="I42" s="556"/>
      <c r="J42" s="239"/>
      <c r="K42" s="240"/>
      <c r="L42" s="241"/>
      <c r="M42" s="239"/>
      <c r="N42" s="240"/>
      <c r="O42" s="241"/>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4"/>
      <c r="AY42" s="444"/>
      <c r="AZ42" s="444"/>
      <c r="BA42" s="444"/>
      <c r="BB42" s="444"/>
      <c r="BC42" s="444"/>
      <c r="BD42" s="444"/>
      <c r="BE42" s="444"/>
      <c r="BF42" s="444"/>
      <c r="BG42" s="444"/>
      <c r="BH42" s="444"/>
    </row>
    <row r="43" spans="1:60" ht="45" customHeight="1">
      <c r="A43" s="223"/>
      <c r="B43" s="596"/>
      <c r="C43" s="597"/>
      <c r="D43" s="598"/>
      <c r="E43" s="551"/>
      <c r="F43" s="552"/>
      <c r="G43" s="552"/>
      <c r="H43" s="552"/>
      <c r="I43" s="553"/>
      <c r="J43" s="554"/>
      <c r="K43" s="555"/>
      <c r="L43" s="556"/>
      <c r="M43" s="239"/>
      <c r="N43" s="240"/>
      <c r="O43" s="241"/>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4"/>
      <c r="BF43" s="444"/>
      <c r="BG43" s="444"/>
      <c r="BH43" s="444"/>
    </row>
    <row r="44" spans="1:60" ht="64.5" customHeight="1">
      <c r="A44" s="223"/>
      <c r="B44" s="602"/>
      <c r="C44" s="603"/>
      <c r="D44" s="604"/>
      <c r="E44" s="551"/>
      <c r="F44" s="552"/>
      <c r="G44" s="552"/>
      <c r="H44" s="552"/>
      <c r="I44" s="553"/>
      <c r="J44" s="554"/>
      <c r="K44" s="555"/>
      <c r="L44" s="556"/>
      <c r="M44" s="239"/>
      <c r="N44" s="240"/>
      <c r="O44" s="241"/>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row>
    <row r="45" spans="1:60" ht="49.5" customHeight="1">
      <c r="B45" s="602"/>
      <c r="C45" s="603"/>
      <c r="D45" s="604"/>
      <c r="E45" s="551"/>
      <c r="F45" s="552"/>
      <c r="G45" s="552"/>
      <c r="H45" s="552"/>
      <c r="I45" s="553"/>
      <c r="J45" s="554"/>
      <c r="K45" s="555"/>
      <c r="L45" s="556"/>
      <c r="M45" s="239"/>
      <c r="N45" s="240"/>
      <c r="O45" s="241"/>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c r="BH45" s="444"/>
    </row>
    <row r="46" spans="1:60" ht="30" customHeight="1">
      <c r="B46" s="605"/>
      <c r="C46" s="606"/>
      <c r="D46" s="607"/>
      <c r="E46" s="227"/>
      <c r="F46" s="228"/>
      <c r="G46" s="228"/>
      <c r="H46" s="228"/>
      <c r="I46" s="229"/>
      <c r="J46" s="239"/>
      <c r="K46" s="240"/>
      <c r="L46" s="241"/>
      <c r="M46" s="239"/>
      <c r="N46" s="240"/>
      <c r="O46" s="241"/>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row>
    <row r="47" spans="1:60" ht="33.75" customHeight="1">
      <c r="B47" s="219"/>
      <c r="C47" s="220"/>
      <c r="D47" s="220"/>
      <c r="E47" s="214"/>
      <c r="F47" s="216"/>
      <c r="G47" s="216"/>
      <c r="H47" s="216"/>
      <c r="I47" s="216"/>
      <c r="J47" s="214"/>
      <c r="K47" s="214"/>
      <c r="L47" s="215"/>
      <c r="M47" s="213"/>
      <c r="N47" s="214"/>
      <c r="O47" s="215"/>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row>
    <row r="48" spans="1:60" ht="15.75" customHeight="1">
      <c r="B48" s="557" t="s">
        <v>1</v>
      </c>
      <c r="C48" s="558"/>
      <c r="D48" s="558"/>
      <c r="E48" s="558"/>
      <c r="F48" s="558"/>
      <c r="G48" s="558"/>
      <c r="H48" s="558"/>
      <c r="I48" s="558"/>
      <c r="J48" s="558"/>
      <c r="K48" s="558"/>
      <c r="L48" s="559"/>
      <c r="M48" s="542" t="s">
        <v>16</v>
      </c>
      <c r="N48" s="543"/>
      <c r="O48" s="5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row>
    <row r="49" spans="4:60">
      <c r="D49" s="200"/>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row>
    <row r="50" spans="4:60">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c r="BH50" s="444"/>
    </row>
    <row r="51" spans="4:60">
      <c r="D51" s="200"/>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c r="BD51" s="444"/>
      <c r="BE51" s="444"/>
      <c r="BF51" s="444"/>
      <c r="BG51" s="444"/>
      <c r="BH51" s="444"/>
    </row>
    <row r="52" spans="4:60">
      <c r="D52" s="200"/>
      <c r="S52" s="444"/>
      <c r="T52" s="444"/>
      <c r="U52" s="444"/>
      <c r="V52" s="444"/>
      <c r="W52" s="444"/>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c r="BA52" s="444"/>
      <c r="BB52" s="444"/>
      <c r="BC52" s="444"/>
      <c r="BD52" s="444"/>
      <c r="BE52" s="444"/>
      <c r="BF52" s="444"/>
      <c r="BG52" s="444"/>
      <c r="BH52" s="444"/>
    </row>
    <row r="53" spans="4:60">
      <c r="S53" s="444"/>
      <c r="T53" s="444"/>
      <c r="U53" s="444"/>
      <c r="V53" s="444"/>
      <c r="W53" s="444"/>
      <c r="X53" s="444"/>
      <c r="Y53" s="444"/>
      <c r="Z53" s="444"/>
      <c r="AA53" s="444"/>
      <c r="AB53" s="444"/>
      <c r="AC53" s="444"/>
      <c r="AD53" s="444"/>
      <c r="AE53" s="444"/>
      <c r="AF53" s="444"/>
      <c r="AG53" s="444"/>
      <c r="AH53" s="444"/>
      <c r="AI53" s="444"/>
      <c r="AJ53" s="444"/>
      <c r="AK53" s="444"/>
      <c r="AL53" s="444"/>
      <c r="AM53" s="444"/>
      <c r="AN53" s="444"/>
      <c r="AO53" s="444"/>
      <c r="AP53" s="444"/>
      <c r="AQ53" s="444"/>
      <c r="AR53" s="444"/>
      <c r="AS53" s="444"/>
      <c r="AT53" s="444"/>
      <c r="AU53" s="444"/>
      <c r="AV53" s="444"/>
      <c r="AW53" s="444"/>
      <c r="AX53" s="444"/>
      <c r="AY53" s="444"/>
      <c r="AZ53" s="444"/>
      <c r="BA53" s="444"/>
      <c r="BB53" s="444"/>
      <c r="BC53" s="444"/>
      <c r="BD53" s="444"/>
      <c r="BE53" s="444"/>
      <c r="BF53" s="444"/>
      <c r="BG53" s="444"/>
      <c r="BH53" s="444"/>
    </row>
    <row r="54" spans="4:60">
      <c r="S54" s="444"/>
      <c r="T54" s="444"/>
      <c r="U54" s="444"/>
      <c r="V54" s="444"/>
      <c r="W54" s="444"/>
      <c r="X54" s="444"/>
      <c r="Y54" s="444"/>
      <c r="Z54" s="444"/>
      <c r="AA54" s="444"/>
      <c r="AB54" s="444"/>
      <c r="AC54" s="444"/>
      <c r="AD54" s="444"/>
      <c r="AE54" s="444"/>
      <c r="AF54" s="444"/>
      <c r="AG54" s="444"/>
      <c r="AH54" s="444"/>
      <c r="AI54" s="444"/>
      <c r="AJ54" s="444"/>
      <c r="AK54" s="444"/>
      <c r="AL54" s="444"/>
      <c r="AM54" s="444"/>
      <c r="AN54" s="444"/>
      <c r="AO54" s="444"/>
      <c r="AP54" s="444"/>
      <c r="AQ54" s="444"/>
      <c r="AR54" s="444"/>
      <c r="AS54" s="444"/>
      <c r="AT54" s="444"/>
      <c r="AU54" s="444"/>
      <c r="AV54" s="444"/>
      <c r="AW54" s="444"/>
      <c r="AX54" s="444"/>
      <c r="AY54" s="444"/>
      <c r="AZ54" s="444"/>
      <c r="BA54" s="444"/>
      <c r="BB54" s="444"/>
      <c r="BC54" s="444"/>
      <c r="BD54" s="444"/>
      <c r="BE54" s="444"/>
      <c r="BF54" s="444"/>
      <c r="BG54" s="444"/>
      <c r="BH54" s="444"/>
    </row>
    <row r="55" spans="4:60">
      <c r="S55" s="444"/>
      <c r="T55" s="444"/>
      <c r="U55" s="444"/>
      <c r="V55" s="444"/>
      <c r="W55" s="444"/>
      <c r="X55" s="444"/>
      <c r="Y55" s="444"/>
      <c r="Z55" s="444"/>
      <c r="AA55" s="444"/>
      <c r="AB55" s="444"/>
      <c r="AC55" s="444"/>
      <c r="AD55" s="444"/>
      <c r="AE55" s="444"/>
      <c r="AF55" s="444"/>
      <c r="AG55" s="444"/>
      <c r="AH55" s="444"/>
      <c r="AI55" s="444"/>
      <c r="AJ55" s="444"/>
      <c r="AK55" s="444"/>
      <c r="AL55" s="444"/>
      <c r="AM55" s="444"/>
      <c r="AN55" s="444"/>
      <c r="AO55" s="444"/>
      <c r="AP55" s="444"/>
      <c r="AQ55" s="444"/>
      <c r="AR55" s="444"/>
      <c r="AS55" s="444"/>
      <c r="AT55" s="444"/>
      <c r="AU55" s="444"/>
      <c r="AV55" s="444"/>
      <c r="AW55" s="444"/>
      <c r="AX55" s="444"/>
      <c r="AY55" s="444"/>
      <c r="AZ55" s="444"/>
      <c r="BA55" s="444"/>
      <c r="BB55" s="444"/>
      <c r="BC55" s="444"/>
      <c r="BD55" s="444"/>
      <c r="BE55" s="444"/>
      <c r="BF55" s="444"/>
      <c r="BG55" s="444"/>
      <c r="BH55" s="444"/>
    </row>
    <row r="56" spans="4:60">
      <c r="S56" s="444"/>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c r="AP56" s="444"/>
      <c r="AQ56" s="444"/>
      <c r="AR56" s="444"/>
      <c r="AS56" s="444"/>
      <c r="AT56" s="444"/>
      <c r="AU56" s="444"/>
      <c r="AV56" s="444"/>
      <c r="AW56" s="444"/>
      <c r="AX56" s="444"/>
      <c r="AY56" s="444"/>
      <c r="AZ56" s="444"/>
      <c r="BA56" s="444"/>
      <c r="BB56" s="444"/>
      <c r="BC56" s="444"/>
      <c r="BD56" s="444"/>
      <c r="BE56" s="444"/>
      <c r="BF56" s="444"/>
      <c r="BG56" s="444"/>
      <c r="BH56" s="444"/>
    </row>
    <row r="57" spans="4:60">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4"/>
      <c r="AY57" s="444"/>
      <c r="AZ57" s="444"/>
      <c r="BA57" s="444"/>
      <c r="BB57" s="444"/>
      <c r="BC57" s="444"/>
      <c r="BD57" s="444"/>
      <c r="BE57" s="444"/>
      <c r="BF57" s="444"/>
      <c r="BG57" s="444"/>
      <c r="BH57" s="444"/>
    </row>
  </sheetData>
  <sheetProtection password="CFC9" sheet="1"/>
  <mergeCells count="116">
    <mergeCell ref="M38:O38"/>
    <mergeCell ref="E39:I39"/>
    <mergeCell ref="E38:I38"/>
    <mergeCell ref="B38:D38"/>
    <mergeCell ref="B46:D46"/>
    <mergeCell ref="J43:L43"/>
    <mergeCell ref="J44:L44"/>
    <mergeCell ref="J45:L45"/>
    <mergeCell ref="E44:I44"/>
    <mergeCell ref="B44:D44"/>
    <mergeCell ref="B45:D45"/>
    <mergeCell ref="E45:I45"/>
    <mergeCell ref="B43:D43"/>
    <mergeCell ref="B36:D36"/>
    <mergeCell ref="B33:D33"/>
    <mergeCell ref="E42:I42"/>
    <mergeCell ref="E43:I43"/>
    <mergeCell ref="B42:D42"/>
    <mergeCell ref="E40:I40"/>
    <mergeCell ref="B41:D41"/>
    <mergeCell ref="B40:D40"/>
    <mergeCell ref="B39:D39"/>
    <mergeCell ref="M33:O33"/>
    <mergeCell ref="M34:O34"/>
    <mergeCell ref="M35:O35"/>
    <mergeCell ref="J40:L40"/>
    <mergeCell ref="M40:O40"/>
    <mergeCell ref="B22:D22"/>
    <mergeCell ref="B21:D21"/>
    <mergeCell ref="E21:I21"/>
    <mergeCell ref="J21:L21"/>
    <mergeCell ref="E23:I23"/>
    <mergeCell ref="B34:D34"/>
    <mergeCell ref="B37:D37"/>
    <mergeCell ref="J35:L35"/>
    <mergeCell ref="J38:L38"/>
    <mergeCell ref="E35:I35"/>
    <mergeCell ref="M22:O22"/>
    <mergeCell ref="E25:I25"/>
    <mergeCell ref="E24:I24"/>
    <mergeCell ref="J25:L25"/>
    <mergeCell ref="M23:O24"/>
    <mergeCell ref="M25:O25"/>
    <mergeCell ref="E22:I22"/>
    <mergeCell ref="J22:L22"/>
    <mergeCell ref="B25:D25"/>
    <mergeCell ref="M18:O18"/>
    <mergeCell ref="M48:O48"/>
    <mergeCell ref="B30:O30"/>
    <mergeCell ref="B32:D32"/>
    <mergeCell ref="E32:I32"/>
    <mergeCell ref="J32:L32"/>
    <mergeCell ref="M32:O32"/>
    <mergeCell ref="E33:I33"/>
    <mergeCell ref="E34:I34"/>
    <mergeCell ref="J41:L41"/>
    <mergeCell ref="E41:I41"/>
    <mergeCell ref="J33:L33"/>
    <mergeCell ref="J34:L34"/>
    <mergeCell ref="B48:L48"/>
    <mergeCell ref="M21:O21"/>
    <mergeCell ref="J20:L20"/>
    <mergeCell ref="M20:O20"/>
    <mergeCell ref="B20:D20"/>
    <mergeCell ref="E20:I20"/>
    <mergeCell ref="B23:D24"/>
    <mergeCell ref="B35:D35"/>
    <mergeCell ref="E37:I37"/>
    <mergeCell ref="M41:O41"/>
    <mergeCell ref="J23:L24"/>
    <mergeCell ref="B19:D19"/>
    <mergeCell ref="E19:I19"/>
    <mergeCell ref="J19:L19"/>
    <mergeCell ref="B18:D18"/>
    <mergeCell ref="M19:O19"/>
    <mergeCell ref="E18:I18"/>
    <mergeCell ref="B15:D15"/>
    <mergeCell ref="J11:L11"/>
    <mergeCell ref="E12:I12"/>
    <mergeCell ref="B13:D13"/>
    <mergeCell ref="B12:D12"/>
    <mergeCell ref="M11:O11"/>
    <mergeCell ref="J12:L12"/>
    <mergeCell ref="M12:O12"/>
    <mergeCell ref="E11:I11"/>
    <mergeCell ref="J18:L18"/>
    <mergeCell ref="M15:O15"/>
    <mergeCell ref="M13:O13"/>
    <mergeCell ref="E14:I14"/>
    <mergeCell ref="J14:L14"/>
    <mergeCell ref="E15:I15"/>
    <mergeCell ref="J15:L15"/>
    <mergeCell ref="E13:I13"/>
    <mergeCell ref="J13:L13"/>
    <mergeCell ref="E10:I10"/>
    <mergeCell ref="B16:O16"/>
    <mergeCell ref="B14:D14"/>
    <mergeCell ref="B11:D11"/>
    <mergeCell ref="M9:O9"/>
    <mergeCell ref="J10:L10"/>
    <mergeCell ref="M10:O10"/>
    <mergeCell ref="B10:D10"/>
    <mergeCell ref="B9:D9"/>
    <mergeCell ref="E9:I9"/>
    <mergeCell ref="J9:L9"/>
    <mergeCell ref="M14:O14"/>
    <mergeCell ref="B2:M2"/>
    <mergeCell ref="B5:O5"/>
    <mergeCell ref="M8:O8"/>
    <mergeCell ref="J8:L8"/>
    <mergeCell ref="E7:I7"/>
    <mergeCell ref="J7:L7"/>
    <mergeCell ref="M7:O7"/>
    <mergeCell ref="B8:D8"/>
    <mergeCell ref="B7:D7"/>
    <mergeCell ref="E8:I8"/>
  </mergeCells>
  <phoneticPr fontId="30" type="noConversion"/>
  <pageMargins left="0.70866141732283472" right="0.70866141732283472" top="0.74803149606299213" bottom="0.74803149606299213" header="0.31496062992125984" footer="0.31496062992125984"/>
  <pageSetup paperSize="9" orientation="landscape" r:id="rId1"/>
  <headerFooter alignWithMargins="0">
    <oddFooter>&amp;L&amp;F&amp;C&amp;A&amp;R&amp;D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pageSetUpPr fitToPage="1"/>
  </sheetPr>
  <dimension ref="A1:AJ152"/>
  <sheetViews>
    <sheetView showGridLines="0" topLeftCell="A127" zoomScale="75" zoomScaleNormal="100" workbookViewId="0">
      <selection activeCell="K119" sqref="K119"/>
    </sheetView>
  </sheetViews>
  <sheetFormatPr baseColWidth="10" defaultColWidth="9.140625" defaultRowHeight="15"/>
  <cols>
    <col min="1" max="1" width="2.7109375" customWidth="1"/>
    <col min="2" max="2" width="98.42578125" customWidth="1"/>
    <col min="3" max="3" width="23" customWidth="1"/>
    <col min="4" max="4" width="19.140625" customWidth="1"/>
    <col min="5" max="5" width="16.42578125" customWidth="1"/>
    <col min="6" max="6" width="17.42578125" customWidth="1"/>
    <col min="7" max="7" width="16.42578125" customWidth="1"/>
    <col min="8" max="8" width="17.5703125" customWidth="1"/>
    <col min="9" max="9" width="16.28515625" customWidth="1"/>
    <col min="10" max="10" width="16.85546875" customWidth="1"/>
    <col min="11" max="11" width="18.5703125" customWidth="1"/>
    <col min="12" max="12" width="15.28515625" customWidth="1"/>
    <col min="13" max="13" width="20.5703125" customWidth="1"/>
    <col min="14" max="14" width="14.28515625" style="36" customWidth="1"/>
    <col min="15" max="15" width="15.5703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61" t="s">
        <v>17</v>
      </c>
      <c r="C2" s="661"/>
      <c r="D2" s="661"/>
      <c r="E2" s="661"/>
      <c r="F2" s="661"/>
      <c r="G2" s="661"/>
      <c r="H2" s="661"/>
      <c r="I2" s="661"/>
      <c r="J2" s="661"/>
      <c r="K2" s="258"/>
      <c r="L2" s="258"/>
      <c r="M2" s="258"/>
    </row>
    <row r="3" spans="1:13" ht="4.5" customHeight="1">
      <c r="A3" s="3"/>
      <c r="B3" s="3"/>
      <c r="C3" s="3"/>
      <c r="D3" s="3"/>
      <c r="E3" s="3"/>
      <c r="F3" s="3"/>
      <c r="G3" s="3"/>
      <c r="H3" s="3"/>
      <c r="I3" s="3"/>
      <c r="J3" s="3"/>
      <c r="K3" s="3"/>
      <c r="L3" s="3"/>
      <c r="M3" s="3"/>
    </row>
    <row r="4" spans="1:13">
      <c r="A4" s="3"/>
      <c r="B4" s="380" t="s">
        <v>18</v>
      </c>
      <c r="C4" s="665" t="s">
        <v>251</v>
      </c>
      <c r="D4" s="667"/>
      <c r="E4" s="676" t="s">
        <v>208</v>
      </c>
      <c r="F4" s="674"/>
      <c r="G4" s="675" t="s">
        <v>326</v>
      </c>
      <c r="H4" s="666"/>
      <c r="I4" s="666"/>
      <c r="J4" s="667"/>
      <c r="K4" s="3"/>
      <c r="L4" s="3"/>
      <c r="M4" s="3"/>
    </row>
    <row r="5" spans="1:13" ht="3" customHeight="1">
      <c r="A5" s="3"/>
      <c r="B5" s="257"/>
      <c r="C5" s="3"/>
      <c r="D5" s="3"/>
      <c r="E5" s="259"/>
      <c r="F5" s="259"/>
      <c r="G5" s="3"/>
      <c r="H5" s="3"/>
      <c r="I5" s="3"/>
      <c r="J5" s="3"/>
      <c r="K5" s="3"/>
      <c r="L5" s="3"/>
      <c r="M5" s="3"/>
    </row>
    <row r="6" spans="1:13">
      <c r="A6" s="3"/>
      <c r="B6" s="380" t="s">
        <v>210</v>
      </c>
      <c r="C6" s="675" t="s">
        <v>323</v>
      </c>
      <c r="D6" s="667"/>
      <c r="E6" s="676" t="s">
        <v>19</v>
      </c>
      <c r="F6" s="674"/>
      <c r="G6" s="381" t="s">
        <v>320</v>
      </c>
      <c r="H6" s="429" t="s">
        <v>3</v>
      </c>
      <c r="I6" s="662">
        <v>6264586</v>
      </c>
      <c r="J6" s="663"/>
      <c r="K6" s="3"/>
      <c r="L6" s="3"/>
      <c r="M6" s="3"/>
    </row>
    <row r="7" spans="1:13" ht="3" customHeight="1">
      <c r="A7" s="3"/>
      <c r="B7" s="257"/>
      <c r="C7" s="3"/>
      <c r="D7" s="3"/>
      <c r="E7" s="259"/>
      <c r="F7" s="259"/>
      <c r="G7" s="3"/>
      <c r="H7" s="257"/>
      <c r="I7" s="3"/>
      <c r="J7" s="3"/>
      <c r="K7" s="3"/>
      <c r="L7" s="3"/>
      <c r="M7" s="3"/>
    </row>
    <row r="8" spans="1:13">
      <c r="A8" s="3"/>
      <c r="B8" s="380" t="s">
        <v>2</v>
      </c>
      <c r="C8" s="675" t="s">
        <v>324</v>
      </c>
      <c r="D8" s="667"/>
      <c r="E8" s="260"/>
      <c r="F8" s="382" t="s">
        <v>21</v>
      </c>
      <c r="G8" s="381" t="s">
        <v>276</v>
      </c>
      <c r="H8" s="382" t="s">
        <v>22</v>
      </c>
      <c r="I8" s="665" t="s">
        <v>276</v>
      </c>
      <c r="J8" s="667"/>
      <c r="K8" s="3"/>
      <c r="L8" s="3"/>
      <c r="M8" s="3"/>
    </row>
    <row r="9" spans="1:13" ht="3" customHeight="1">
      <c r="A9" s="3"/>
      <c r="B9" s="259"/>
      <c r="C9" s="448">
        <v>39825</v>
      </c>
      <c r="D9" s="3"/>
      <c r="E9" s="259"/>
      <c r="F9" s="259"/>
      <c r="G9" s="3"/>
      <c r="H9" s="3"/>
      <c r="I9" s="3"/>
      <c r="J9" s="3"/>
      <c r="K9" s="3"/>
      <c r="L9" s="3"/>
      <c r="M9" s="3"/>
    </row>
    <row r="10" spans="1:13">
      <c r="A10" s="3"/>
      <c r="B10" s="380" t="s">
        <v>23</v>
      </c>
      <c r="C10" s="671" t="s">
        <v>325</v>
      </c>
      <c r="D10" s="672"/>
      <c r="E10" s="670" t="s">
        <v>24</v>
      </c>
      <c r="F10" s="669"/>
      <c r="G10" s="665" t="s">
        <v>133</v>
      </c>
      <c r="H10" s="666"/>
      <c r="I10" s="666"/>
      <c r="J10" s="667"/>
      <c r="K10" s="3"/>
      <c r="L10" s="3"/>
      <c r="M10" s="3"/>
    </row>
    <row r="11" spans="1:13" ht="5.25" customHeight="1">
      <c r="A11" s="3"/>
      <c r="B11" s="3"/>
      <c r="C11" s="3"/>
      <c r="D11" s="3"/>
      <c r="E11" s="3"/>
      <c r="F11" s="3"/>
      <c r="G11" s="3"/>
      <c r="H11" s="3"/>
      <c r="I11" s="3"/>
      <c r="J11" s="3"/>
      <c r="K11" s="3"/>
      <c r="L11" s="3"/>
      <c r="M11" s="3"/>
    </row>
    <row r="12" spans="1:13" ht="15" customHeight="1">
      <c r="A12" s="3"/>
      <c r="B12" s="460" t="s">
        <v>277</v>
      </c>
      <c r="C12" s="646" t="s">
        <v>276</v>
      </c>
      <c r="D12" s="646"/>
      <c r="E12" s="673" t="s">
        <v>278</v>
      </c>
      <c r="F12" s="674"/>
      <c r="G12" s="664" t="s">
        <v>336</v>
      </c>
      <c r="H12" s="664"/>
      <c r="I12" s="664"/>
      <c r="J12" s="664"/>
      <c r="K12" s="3"/>
      <c r="L12" s="3"/>
      <c r="M12" s="3"/>
    </row>
    <row r="13" spans="1:13" ht="5.25" customHeight="1">
      <c r="A13" s="3"/>
      <c r="B13" s="3"/>
      <c r="C13" s="3"/>
      <c r="D13" s="3"/>
      <c r="E13" s="3"/>
      <c r="F13" s="3"/>
      <c r="G13" s="3"/>
      <c r="H13" s="3"/>
      <c r="I13" s="3"/>
      <c r="J13" s="3"/>
      <c r="K13" s="3"/>
      <c r="L13" s="3"/>
      <c r="M13" s="3"/>
    </row>
    <row r="14" spans="1:13" ht="15.75" customHeight="1">
      <c r="A14" s="3"/>
      <c r="B14" s="661" t="s">
        <v>26</v>
      </c>
      <c r="C14" s="661"/>
      <c r="D14" s="661"/>
      <c r="E14" s="661"/>
      <c r="F14" s="661"/>
      <c r="G14" s="661"/>
      <c r="H14" s="661"/>
      <c r="I14" s="661"/>
      <c r="J14" s="661"/>
      <c r="K14" s="3"/>
      <c r="L14" s="3"/>
      <c r="M14" s="3"/>
    </row>
    <row r="15" spans="1:13" ht="3" customHeight="1">
      <c r="A15" s="3"/>
      <c r="B15" s="3"/>
      <c r="C15" s="3"/>
      <c r="D15" s="3"/>
      <c r="E15" s="3"/>
      <c r="F15" s="3"/>
      <c r="G15" s="3"/>
      <c r="H15" s="3"/>
      <c r="I15" s="3"/>
      <c r="J15" s="3"/>
      <c r="K15" s="3"/>
      <c r="L15" s="3"/>
      <c r="M15" s="3"/>
    </row>
    <row r="16" spans="1:13">
      <c r="A16" s="3"/>
      <c r="B16" s="460" t="s">
        <v>306</v>
      </c>
      <c r="C16" s="381" t="s">
        <v>153</v>
      </c>
      <c r="D16" s="382" t="s">
        <v>28</v>
      </c>
      <c r="E16" s="261">
        <v>43831</v>
      </c>
      <c r="F16" s="383" t="s">
        <v>29</v>
      </c>
      <c r="G16" s="261">
        <v>44012</v>
      </c>
      <c r="H16" s="677" t="s">
        <v>4</v>
      </c>
      <c r="I16" s="678"/>
      <c r="J16" s="261">
        <v>44047</v>
      </c>
      <c r="K16" s="3"/>
      <c r="L16" s="3"/>
      <c r="M16" s="3"/>
    </row>
    <row r="17" spans="1:35" ht="3" customHeight="1">
      <c r="A17" s="3"/>
      <c r="B17" s="3"/>
      <c r="C17" s="3"/>
      <c r="D17" s="3"/>
      <c r="E17" s="3"/>
      <c r="F17" s="3"/>
      <c r="G17" s="3"/>
      <c r="H17" s="3"/>
      <c r="I17" s="3"/>
      <c r="J17" s="3"/>
      <c r="K17" s="3"/>
      <c r="L17" s="3"/>
      <c r="M17" s="3"/>
    </row>
    <row r="18" spans="1:35">
      <c r="A18" s="3"/>
      <c r="B18" s="668" t="s">
        <v>30</v>
      </c>
      <c r="C18" s="669"/>
      <c r="D18" s="647" t="s">
        <v>324</v>
      </c>
      <c r="E18" s="647"/>
      <c r="F18" s="647"/>
      <c r="G18" s="262"/>
      <c r="H18" s="262"/>
      <c r="I18" s="262"/>
      <c r="J18" s="262"/>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61" t="s">
        <v>31</v>
      </c>
      <c r="C21" s="661"/>
      <c r="D21" s="661"/>
      <c r="E21" s="661"/>
      <c r="F21" s="661"/>
      <c r="G21" s="661"/>
      <c r="H21" s="661"/>
      <c r="I21" s="661"/>
      <c r="J21" s="661"/>
      <c r="K21" s="3"/>
      <c r="L21" s="3"/>
      <c r="M21" s="3"/>
    </row>
    <row r="22" spans="1:35">
      <c r="A22" s="3"/>
      <c r="B22" s="384" t="s">
        <v>32</v>
      </c>
      <c r="C22" s="3"/>
      <c r="D22" s="3"/>
      <c r="E22" s="263"/>
      <c r="F22" s="263"/>
      <c r="G22" s="3"/>
      <c r="H22" s="3"/>
      <c r="I22" s="263"/>
      <c r="J22" s="263"/>
      <c r="K22" s="3"/>
      <c r="L22" s="3"/>
      <c r="M22" s="3"/>
    </row>
    <row r="23" spans="1:35" ht="3" customHeight="1">
      <c r="A23" s="3"/>
      <c r="B23" s="3"/>
      <c r="C23" s="3"/>
      <c r="D23" s="3"/>
      <c r="E23" s="3"/>
      <c r="F23" s="3"/>
      <c r="G23" s="3"/>
      <c r="H23" s="3"/>
      <c r="I23" s="3"/>
      <c r="J23" s="3"/>
      <c r="K23" s="3"/>
      <c r="L23" s="3"/>
      <c r="M23" s="3"/>
    </row>
    <row r="24" spans="1:35" ht="15.75" thickBot="1">
      <c r="A24" s="3"/>
      <c r="B24" s="380" t="s">
        <v>5</v>
      </c>
      <c r="C24" s="342"/>
      <c r="D24" s="676" t="s">
        <v>33</v>
      </c>
      <c r="E24" s="674"/>
      <c r="F24" s="343"/>
      <c r="G24" s="676" t="s">
        <v>34</v>
      </c>
      <c r="H24" s="674"/>
      <c r="I24" s="701"/>
      <c r="J24" s="702"/>
      <c r="K24" s="3"/>
      <c r="L24" s="3"/>
      <c r="M24" s="3"/>
      <c r="N24" s="20"/>
    </row>
    <row r="25" spans="1:35" ht="19.5" thickBot="1">
      <c r="A25" s="3"/>
      <c r="B25" s="84" t="s">
        <v>5</v>
      </c>
      <c r="C25" s="85"/>
      <c r="D25" s="85"/>
      <c r="E25" s="85"/>
      <c r="F25" s="85"/>
      <c r="G25" s="85"/>
      <c r="H25" s="247"/>
      <c r="I25" s="247"/>
      <c r="J25" s="247" t="s">
        <v>244</v>
      </c>
      <c r="K25" s="247"/>
      <c r="L25" s="85"/>
      <c r="M25" s="85"/>
      <c r="N25" s="359"/>
      <c r="O25" s="40"/>
      <c r="AI25" s="44"/>
    </row>
    <row r="26" spans="1:35">
      <c r="A26" s="3"/>
      <c r="B26" s="650" t="s">
        <v>35</v>
      </c>
      <c r="C26" s="651"/>
      <c r="D26" s="385" t="s">
        <v>112</v>
      </c>
      <c r="E26" s="87"/>
      <c r="F26" s="87"/>
      <c r="G26" s="87"/>
      <c r="H26" s="87"/>
      <c r="I26" s="87"/>
      <c r="J26" s="88"/>
      <c r="K26" s="87"/>
      <c r="L26" s="87"/>
      <c r="M26" s="87"/>
      <c r="N26" s="40"/>
      <c r="O26" s="40"/>
      <c r="AI26" s="44"/>
    </row>
    <row r="27" spans="1:35" ht="18.75">
      <c r="A27" s="3"/>
      <c r="B27" s="86" t="s">
        <v>36</v>
      </c>
      <c r="C27" s="87"/>
      <c r="D27" s="87"/>
      <c r="E27" s="87"/>
      <c r="F27" s="87"/>
      <c r="G27" s="87"/>
      <c r="H27" s="87"/>
      <c r="I27" s="87"/>
      <c r="J27" s="88"/>
      <c r="K27" s="87"/>
      <c r="L27" s="87"/>
      <c r="M27" s="87"/>
      <c r="N27" s="40"/>
      <c r="O27" s="40"/>
      <c r="AI27" s="44"/>
    </row>
    <row r="28" spans="1:35" ht="15.75" thickBot="1">
      <c r="A28" s="3"/>
      <c r="B28" s="3"/>
      <c r="C28" s="3"/>
      <c r="D28" s="3"/>
      <c r="E28" s="3"/>
      <c r="F28" s="3"/>
      <c r="G28" s="3"/>
      <c r="H28" s="3"/>
      <c r="I28" s="3"/>
      <c r="J28" s="3"/>
      <c r="K28" s="3"/>
      <c r="L28" s="3"/>
      <c r="M28" s="3"/>
    </row>
    <row r="29" spans="1:35" ht="15.75" thickBot="1">
      <c r="A29" s="3"/>
      <c r="B29" s="683" t="s">
        <v>279</v>
      </c>
      <c r="C29" s="684"/>
      <c r="D29" s="684"/>
      <c r="E29" s="684"/>
      <c r="F29" s="684"/>
      <c r="G29" s="684"/>
      <c r="H29" s="684"/>
      <c r="I29" s="684"/>
      <c r="J29" s="684"/>
      <c r="K29" s="684"/>
      <c r="L29" s="684"/>
      <c r="M29" s="684"/>
      <c r="N29" s="685"/>
      <c r="P29" s="187"/>
      <c r="Q29" s="188"/>
      <c r="R29" s="189">
        <f>+C33</f>
        <v>359935</v>
      </c>
      <c r="S29" s="187"/>
    </row>
    <row r="30" spans="1:35" ht="45" customHeight="1">
      <c r="A30" s="3"/>
      <c r="B30" s="484" t="s">
        <v>6</v>
      </c>
      <c r="C30" s="322" t="s">
        <v>150</v>
      </c>
      <c r="D30" s="322" t="s">
        <v>151</v>
      </c>
      <c r="E30" s="322" t="s">
        <v>152</v>
      </c>
      <c r="F30" s="322" t="s">
        <v>153</v>
      </c>
      <c r="G30" s="322" t="s">
        <v>156</v>
      </c>
      <c r="H30" s="322" t="s">
        <v>157</v>
      </c>
      <c r="I30" s="322" t="s">
        <v>158</v>
      </c>
      <c r="J30" s="322" t="s">
        <v>159</v>
      </c>
      <c r="K30" s="322" t="s">
        <v>160</v>
      </c>
      <c r="L30" s="322" t="s">
        <v>161</v>
      </c>
      <c r="M30" s="322" t="s">
        <v>162</v>
      </c>
      <c r="N30" s="323" t="s">
        <v>182</v>
      </c>
      <c r="O30" s="492" t="s">
        <v>313</v>
      </c>
      <c r="P30" s="187"/>
      <c r="Q30" s="188"/>
      <c r="R30" s="189">
        <f>+D33</f>
        <v>1660995</v>
      </c>
      <c r="S30" s="187"/>
    </row>
    <row r="31" spans="1:35">
      <c r="A31" s="3"/>
      <c r="B31" s="493" t="str">
        <f>CONCATENATE("Presupuesto (en ",'Introducción de datos'!$D$26,")")</f>
        <v>Presupuesto (en $)</v>
      </c>
      <c r="C31" s="332">
        <v>359935</v>
      </c>
      <c r="D31" s="331">
        <v>1301060</v>
      </c>
      <c r="E31" s="331">
        <v>1114068</v>
      </c>
      <c r="F31" s="331">
        <v>717926</v>
      </c>
      <c r="G31" s="331">
        <v>470665</v>
      </c>
      <c r="H31" s="331">
        <v>1000947</v>
      </c>
      <c r="I31" s="331">
        <v>366623</v>
      </c>
      <c r="J31" s="331">
        <v>317987</v>
      </c>
      <c r="K31" s="331">
        <v>121171</v>
      </c>
      <c r="L31" s="331">
        <v>125492</v>
      </c>
      <c r="M31" s="331">
        <v>133377</v>
      </c>
      <c r="N31" s="331">
        <v>235333</v>
      </c>
      <c r="O31" s="608">
        <f>+SUM(C35:N35)</f>
        <v>1.0000000858863283</v>
      </c>
      <c r="P31" s="187"/>
      <c r="Q31" s="188"/>
      <c r="R31" s="189">
        <f>+E33</f>
        <v>2775063</v>
      </c>
      <c r="S31" s="187"/>
    </row>
    <row r="32" spans="1:35">
      <c r="A32" s="3"/>
      <c r="B32" s="494" t="str">
        <f>CONCATENATE("Desembolsos por el Fondo Mundial (en ", $D$26,")")</f>
        <v>Desembolsos por el Fondo Mundial (en $)</v>
      </c>
      <c r="C32" s="332">
        <v>359934.94</v>
      </c>
      <c r="D32" s="332">
        <v>1301060.3700000001</v>
      </c>
      <c r="E32" s="332">
        <v>1114068.33</v>
      </c>
      <c r="F32" s="332">
        <v>717925.66</v>
      </c>
      <c r="G32" s="332"/>
      <c r="H32" s="332"/>
      <c r="I32" s="331"/>
      <c r="J32" s="331"/>
      <c r="K32" s="331"/>
      <c r="L32" s="331"/>
      <c r="M32" s="331"/>
      <c r="N32" s="331"/>
      <c r="O32" s="609"/>
      <c r="P32" s="187"/>
      <c r="Q32" s="188"/>
      <c r="R32" s="189">
        <f>+F33</f>
        <v>3492989</v>
      </c>
      <c r="S32" s="187"/>
    </row>
    <row r="33" spans="1:35">
      <c r="A33" s="3"/>
      <c r="B33" s="495" t="s">
        <v>37</v>
      </c>
      <c r="C33" s="333">
        <f>+C31</f>
        <v>359935</v>
      </c>
      <c r="D33" s="333">
        <f>IF(AND(D31=0,D32=0),0,+C33+D31)</f>
        <v>1660995</v>
      </c>
      <c r="E33" s="333">
        <f t="shared" ref="E33:N33" si="0">IF(AND(E31=0,E32=0),0,+D33+E31)</f>
        <v>2775063</v>
      </c>
      <c r="F33" s="333">
        <f t="shared" si="0"/>
        <v>3492989</v>
      </c>
      <c r="G33" s="333">
        <f t="shared" si="0"/>
        <v>3963654</v>
      </c>
      <c r="H33" s="333">
        <f t="shared" si="0"/>
        <v>4964601</v>
      </c>
      <c r="I33" s="333">
        <f t="shared" si="0"/>
        <v>5331224</v>
      </c>
      <c r="J33" s="333">
        <f t="shared" si="0"/>
        <v>5649211</v>
      </c>
      <c r="K33" s="333">
        <f t="shared" si="0"/>
        <v>5770382</v>
      </c>
      <c r="L33" s="333">
        <f t="shared" si="0"/>
        <v>5895874</v>
      </c>
      <c r="M33" s="333">
        <f t="shared" si="0"/>
        <v>6029251</v>
      </c>
      <c r="N33" s="333">
        <f t="shared" si="0"/>
        <v>6264584</v>
      </c>
      <c r="O33" s="609"/>
      <c r="P33" s="313"/>
      <c r="Q33" s="188"/>
      <c r="R33" s="189">
        <f>+G33</f>
        <v>3963654</v>
      </c>
      <c r="S33" s="187"/>
    </row>
    <row r="34" spans="1:35" ht="15.75" thickBot="1">
      <c r="A34" s="3"/>
      <c r="B34" s="496" t="s">
        <v>197</v>
      </c>
      <c r="C34" s="334">
        <f>+C32</f>
        <v>359934.94</v>
      </c>
      <c r="D34" s="334">
        <f>IF(AND(D31=0,D32=0),0,+C34+D32)</f>
        <v>1660995.31</v>
      </c>
      <c r="E34" s="334">
        <f t="shared" ref="E34:N34" si="1">IF(AND(E31=0,E32=0),0,+D34+E32)</f>
        <v>2775063.64</v>
      </c>
      <c r="F34" s="334">
        <f t="shared" si="1"/>
        <v>3492989.3000000003</v>
      </c>
      <c r="G34" s="334"/>
      <c r="H34" s="334">
        <f t="shared" si="1"/>
        <v>0</v>
      </c>
      <c r="I34" s="334">
        <f t="shared" si="1"/>
        <v>0</v>
      </c>
      <c r="J34" s="334">
        <f t="shared" si="1"/>
        <v>0</v>
      </c>
      <c r="K34" s="334">
        <f t="shared" si="1"/>
        <v>0</v>
      </c>
      <c r="L34" s="334">
        <f t="shared" si="1"/>
        <v>0</v>
      </c>
      <c r="M34" s="334">
        <f t="shared" si="1"/>
        <v>0</v>
      </c>
      <c r="N34" s="334">
        <f t="shared" si="1"/>
        <v>0</v>
      </c>
      <c r="O34" s="610"/>
      <c r="P34" s="313"/>
      <c r="Q34" s="188"/>
      <c r="R34" s="189">
        <f>+H33</f>
        <v>4964601</v>
      </c>
      <c r="S34" s="187"/>
    </row>
    <row r="35" spans="1:35">
      <c r="A35" s="3"/>
      <c r="B35" s="3"/>
      <c r="C35" s="294">
        <f>+IF(AND(C30=$C$16,C33&lt;&gt;0),C34/C33,0)</f>
        <v>0</v>
      </c>
      <c r="D35" s="294">
        <f t="shared" ref="D35:N35" si="2">+IF(AND(D30=$C$16,D33&lt;&gt;0),D34/D33,0)</f>
        <v>0</v>
      </c>
      <c r="E35" s="294">
        <f t="shared" si="2"/>
        <v>0</v>
      </c>
      <c r="F35" s="294">
        <f t="shared" si="2"/>
        <v>1.0000000858863283</v>
      </c>
      <c r="G35" s="294">
        <f t="shared" si="2"/>
        <v>0</v>
      </c>
      <c r="H35" s="294">
        <f t="shared" si="2"/>
        <v>0</v>
      </c>
      <c r="I35" s="294">
        <f t="shared" si="2"/>
        <v>0</v>
      </c>
      <c r="J35" s="294">
        <f t="shared" si="2"/>
        <v>0</v>
      </c>
      <c r="K35" s="294">
        <f t="shared" si="2"/>
        <v>0</v>
      </c>
      <c r="L35" s="294">
        <f t="shared" si="2"/>
        <v>0</v>
      </c>
      <c r="M35" s="294">
        <f t="shared" si="2"/>
        <v>0</v>
      </c>
      <c r="N35" s="294">
        <f t="shared" si="2"/>
        <v>0</v>
      </c>
      <c r="O35" s="264"/>
      <c r="P35" s="190"/>
      <c r="Q35" s="191"/>
      <c r="R35" s="189">
        <f>+I33</f>
        <v>5331224</v>
      </c>
      <c r="S35" s="187"/>
    </row>
    <row r="36" spans="1:35" ht="18.75">
      <c r="A36" s="3"/>
      <c r="B36" s="86" t="s">
        <v>7</v>
      </c>
      <c r="C36" s="3"/>
      <c r="D36" s="3"/>
      <c r="E36" s="303"/>
      <c r="F36" s="3"/>
      <c r="G36" s="238"/>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386" t="s">
        <v>38</v>
      </c>
      <c r="C38" s="346" t="str">
        <f>CONCATENATE("Presupuesto acumulado (en ",'Introducción de datos'!$D$26,")")</f>
        <v>Presupuesto acumulado (en $)</v>
      </c>
      <c r="D38" s="347" t="str">
        <f>CONCATENATE("Gastos acumulados (en ",'Introducción de datos'!$D$26,")")</f>
        <v>Gastos acumulados (en $)</v>
      </c>
      <c r="E38" s="253"/>
      <c r="F38" s="267"/>
      <c r="G38" s="3"/>
      <c r="H38" s="3"/>
      <c r="I38" s="3"/>
      <c r="J38" s="94"/>
      <c r="K38" s="42"/>
      <c r="N38"/>
      <c r="O38"/>
      <c r="AE38" s="20"/>
      <c r="AF38" s="36"/>
    </row>
    <row r="39" spans="1:35" ht="14.25" customHeight="1">
      <c r="A39" s="3"/>
      <c r="B39" s="387" t="s">
        <v>327</v>
      </c>
      <c r="C39" s="344">
        <f>198973.219631295</f>
        <v>198973.21963129501</v>
      </c>
      <c r="D39" s="348">
        <v>8394.33</v>
      </c>
      <c r="E39" s="265"/>
      <c r="F39" s="315"/>
      <c r="G39" s="316"/>
      <c r="H39" s="3"/>
      <c r="I39" s="3"/>
      <c r="J39" s="95"/>
      <c r="K39" s="43"/>
      <c r="N39"/>
      <c r="O39"/>
      <c r="AE39" s="20"/>
      <c r="AF39" s="36"/>
    </row>
    <row r="40" spans="1:35" ht="14.25" customHeight="1">
      <c r="A40" s="3"/>
      <c r="B40" s="387" t="s">
        <v>328</v>
      </c>
      <c r="C40" s="344">
        <f>196853.989631295</f>
        <v>196853.989631295</v>
      </c>
      <c r="D40" s="348">
        <v>6582.4</v>
      </c>
      <c r="E40" s="15"/>
      <c r="F40" s="315"/>
      <c r="G40" s="316"/>
      <c r="H40" s="3"/>
      <c r="I40" s="3"/>
      <c r="J40" s="3"/>
      <c r="K40" s="43"/>
      <c r="N40"/>
      <c r="O40"/>
      <c r="AE40" s="20"/>
      <c r="AF40" s="36"/>
    </row>
    <row r="41" spans="1:35">
      <c r="A41" s="3"/>
      <c r="B41" s="388" t="s">
        <v>329</v>
      </c>
      <c r="C41" s="345">
        <v>1119099.1453065199</v>
      </c>
      <c r="D41" s="348">
        <v>1225574.23</v>
      </c>
      <c r="E41" s="15"/>
      <c r="F41" s="317"/>
      <c r="G41" s="3"/>
      <c r="H41" s="3"/>
      <c r="I41" s="3"/>
      <c r="J41" s="3"/>
      <c r="K41" s="43"/>
      <c r="N41"/>
      <c r="O41"/>
      <c r="AE41" s="20"/>
      <c r="AF41" s="36"/>
    </row>
    <row r="42" spans="1:35" ht="15" customHeight="1">
      <c r="A42" s="3"/>
      <c r="B42" s="387" t="s">
        <v>330</v>
      </c>
      <c r="C42" s="344">
        <v>529641.86613402842</v>
      </c>
      <c r="D42" s="348">
        <v>83429.319999999992</v>
      </c>
      <c r="E42" s="15"/>
      <c r="F42" s="314"/>
      <c r="G42" s="3"/>
      <c r="H42" s="3"/>
      <c r="I42" s="3"/>
      <c r="J42" s="3"/>
      <c r="K42" s="20"/>
      <c r="N42"/>
      <c r="O42"/>
      <c r="AE42" s="20"/>
      <c r="AF42" s="36"/>
    </row>
    <row r="43" spans="1:35">
      <c r="A43" s="3"/>
      <c r="B43" s="387" t="s">
        <v>331</v>
      </c>
      <c r="C43" s="345">
        <f>377513.831547738+673245.471464261+397661.776284863</f>
        <v>1448421.079296862</v>
      </c>
      <c r="D43" s="348">
        <f>187828.37+131348.5+369202</f>
        <v>688378.87</v>
      </c>
      <c r="E43" s="15"/>
      <c r="F43" s="266"/>
      <c r="G43" s="3"/>
      <c r="H43" s="3"/>
      <c r="I43" s="3"/>
      <c r="J43" s="3"/>
      <c r="K43" s="20"/>
      <c r="N43"/>
      <c r="O43"/>
      <c r="AE43" s="20"/>
      <c r="AF43" s="36"/>
    </row>
    <row r="44" spans="1:35">
      <c r="A44" s="3"/>
      <c r="B44" s="387" t="s">
        <v>332</v>
      </c>
      <c r="C44" s="345">
        <v>673245.47146426095</v>
      </c>
      <c r="D44" s="348">
        <v>131348.5</v>
      </c>
      <c r="E44" s="15"/>
      <c r="F44" s="365"/>
      <c r="G44" s="3"/>
      <c r="H44" s="3"/>
      <c r="I44" s="3"/>
      <c r="J44" s="3"/>
      <c r="K44" s="20"/>
      <c r="N44"/>
      <c r="O44"/>
      <c r="AE44" s="20"/>
      <c r="AF44" s="36"/>
    </row>
    <row r="45" spans="1:35">
      <c r="A45" s="3"/>
      <c r="B45" s="349" t="s">
        <v>333</v>
      </c>
      <c r="C45" s="345">
        <v>397661.77628486301</v>
      </c>
      <c r="D45" s="348">
        <v>369202</v>
      </c>
      <c r="E45" s="15"/>
      <c r="F45" s="266"/>
      <c r="G45" s="15"/>
      <c r="H45" s="15"/>
      <c r="I45" s="15"/>
      <c r="J45" s="15"/>
      <c r="K45" s="20"/>
      <c r="N45"/>
      <c r="O45"/>
      <c r="AE45" s="36"/>
      <c r="AF45" s="36"/>
    </row>
    <row r="46" spans="1:35" ht="15.75" thickBot="1">
      <c r="A46" s="3"/>
      <c r="B46" s="350"/>
      <c r="C46" s="344"/>
      <c r="D46" s="348"/>
      <c r="E46" s="15"/>
      <c r="F46" s="15"/>
      <c r="G46" s="15"/>
      <c r="H46" s="15"/>
      <c r="I46" s="15"/>
      <c r="J46" s="15"/>
      <c r="K46" s="20"/>
      <c r="N46"/>
      <c r="O46"/>
      <c r="AE46" s="36"/>
      <c r="AF46" s="36"/>
    </row>
    <row r="47" spans="1:35" ht="15.75" thickBot="1">
      <c r="A47" s="3"/>
      <c r="B47" s="389" t="s">
        <v>135</v>
      </c>
      <c r="C47" s="351">
        <f>SUM(C39:C43)</f>
        <v>3492989.3000000007</v>
      </c>
      <c r="D47" s="352">
        <f>SUM(D39:D43)</f>
        <v>2012359.15</v>
      </c>
      <c r="E47" s="264"/>
      <c r="F47" s="619" t="str">
        <f ca="1">+IF((ROUND(C47,0)=ROUND(OFFSET(B33,0,RIGHT('Introducción de datos'!$C$16,LEN('Introducción de datos'!$C$16)-1),1,1),0)),"OK: Datos corresponden","Atención: Datos no corresponden")</f>
        <v>OK: Datos corresponden</v>
      </c>
      <c r="G47" s="620"/>
      <c r="H47" s="620"/>
      <c r="I47" s="621"/>
      <c r="J47" s="182"/>
      <c r="K47" s="182"/>
      <c r="L47" s="182"/>
      <c r="M47" s="190"/>
      <c r="N47" s="191"/>
      <c r="O47" s="189"/>
      <c r="P47" s="187"/>
      <c r="AE47" s="36"/>
      <c r="AF47" s="36"/>
    </row>
    <row r="48" spans="1:35">
      <c r="A48" s="3"/>
      <c r="B48" s="3"/>
      <c r="C48" s="182"/>
      <c r="D48" s="182"/>
      <c r="E48" s="250"/>
      <c r="F48" s="182"/>
      <c r="G48" s="182"/>
      <c r="H48" s="182"/>
      <c r="I48" s="182"/>
      <c r="J48" s="182"/>
      <c r="K48" s="182"/>
      <c r="L48" s="182"/>
      <c r="M48" s="182"/>
      <c r="N48" s="182"/>
      <c r="O48" s="182"/>
      <c r="P48" s="190"/>
      <c r="Q48" s="191"/>
      <c r="R48" s="189"/>
      <c r="S48" s="187"/>
    </row>
    <row r="49" spans="1:35" ht="18.75">
      <c r="A49" s="3"/>
      <c r="B49" s="86" t="s">
        <v>39</v>
      </c>
      <c r="C49" s="3"/>
      <c r="D49" s="3"/>
      <c r="E49" s="3"/>
      <c r="F49" s="3"/>
      <c r="G49" s="3"/>
      <c r="H49" s="3"/>
      <c r="I49" s="3"/>
      <c r="J49" s="3"/>
      <c r="K49" s="3"/>
      <c r="L49" s="3"/>
      <c r="M49" s="3"/>
      <c r="P49" s="187"/>
      <c r="Q49" s="188"/>
      <c r="R49" s="189">
        <f>+J33</f>
        <v>5649211</v>
      </c>
      <c r="S49" s="187"/>
    </row>
    <row r="50" spans="1:35" ht="15.75" thickBot="1">
      <c r="A50" s="3"/>
      <c r="B50" s="3"/>
      <c r="C50" s="3"/>
      <c r="D50" s="3"/>
      <c r="E50" s="3"/>
      <c r="F50" s="3"/>
      <c r="G50" s="3"/>
      <c r="H50" s="3"/>
      <c r="I50" s="3"/>
      <c r="J50" s="3"/>
      <c r="K50" s="3"/>
      <c r="L50" s="3"/>
      <c r="M50" s="3"/>
      <c r="P50" s="187"/>
      <c r="Q50" s="188"/>
      <c r="R50" s="189">
        <f>+K33</f>
        <v>5770382</v>
      </c>
      <c r="S50" s="187"/>
    </row>
    <row r="51" spans="1:35" ht="35.25" customHeight="1">
      <c r="A51" s="3"/>
      <c r="B51" s="268"/>
      <c r="C51" s="390" t="s">
        <v>8</v>
      </c>
      <c r="D51" s="390" t="s">
        <v>40</v>
      </c>
      <c r="E51" s="364" t="str">
        <f>CONCATENATE("Total gastado y desembolso (en ",D26,")")</f>
        <v>Total gastado y desembolso (en $)</v>
      </c>
      <c r="F51" s="3"/>
      <c r="G51" s="271"/>
      <c r="H51" s="267"/>
      <c r="I51" s="256"/>
      <c r="J51" s="256"/>
      <c r="K51" s="256"/>
      <c r="L51" s="256"/>
      <c r="M51" s="22"/>
      <c r="N51" s="22"/>
      <c r="O51" s="187"/>
      <c r="P51" s="188"/>
      <c r="Q51" s="189">
        <f>+M33</f>
        <v>6029251</v>
      </c>
      <c r="R51" s="187"/>
      <c r="AH51" s="20"/>
    </row>
    <row r="52" spans="1:35">
      <c r="A52" s="3"/>
      <c r="B52" s="391" t="s">
        <v>41</v>
      </c>
      <c r="C52" s="335">
        <v>0</v>
      </c>
      <c r="D52" s="336">
        <v>3492989.3000000003</v>
      </c>
      <c r="E52" s="337">
        <f>+D52+C52</f>
        <v>3492989.3000000003</v>
      </c>
      <c r="F52" s="3"/>
      <c r="G52" s="90"/>
      <c r="H52" s="269"/>
      <c r="I52" s="89"/>
      <c r="J52" s="184"/>
      <c r="K52" s="185"/>
      <c r="L52" s="91"/>
      <c r="M52" s="37"/>
      <c r="N52" s="37"/>
      <c r="O52" s="187"/>
      <c r="P52" s="187"/>
      <c r="Q52" s="187"/>
      <c r="R52" s="187"/>
      <c r="AH52" s="20"/>
    </row>
    <row r="53" spans="1:35">
      <c r="A53" s="3"/>
      <c r="B53" s="391" t="s">
        <v>305</v>
      </c>
      <c r="C53" s="335">
        <v>0</v>
      </c>
      <c r="D53" s="335">
        <v>2012359.1500000001</v>
      </c>
      <c r="E53" s="337">
        <f>+D53+C53</f>
        <v>2012359.1500000001</v>
      </c>
      <c r="F53" s="3"/>
      <c r="G53" s="232"/>
      <c r="H53" s="269"/>
      <c r="I53" s="89"/>
      <c r="J53" s="184"/>
      <c r="K53" s="184"/>
      <c r="L53" s="91"/>
      <c r="M53" s="38"/>
      <c r="N53" s="38"/>
      <c r="O53" s="187"/>
      <c r="P53" s="187"/>
      <c r="Q53" s="187"/>
      <c r="R53" s="187"/>
      <c r="AH53" s="20"/>
    </row>
    <row r="54" spans="1:35">
      <c r="A54" s="3"/>
      <c r="B54" s="391" t="s">
        <v>42</v>
      </c>
      <c r="C54" s="335">
        <v>0</v>
      </c>
      <c r="D54" s="335"/>
      <c r="E54" s="337">
        <f>+D54+C54</f>
        <v>0</v>
      </c>
      <c r="F54" s="3"/>
      <c r="G54" s="90"/>
      <c r="H54" s="269"/>
      <c r="I54" s="89"/>
      <c r="J54" s="184"/>
      <c r="K54" s="185"/>
      <c r="L54" s="91"/>
      <c r="M54" s="37"/>
      <c r="N54" s="37"/>
      <c r="O54"/>
      <c r="AH54" s="20"/>
    </row>
    <row r="55" spans="1:35" ht="15.75" thickBot="1">
      <c r="A55" s="3"/>
      <c r="B55" s="392" t="s">
        <v>43</v>
      </c>
      <c r="C55" s="338">
        <v>0</v>
      </c>
      <c r="D55" s="338"/>
      <c r="E55" s="339">
        <f>+D55+C55</f>
        <v>0</v>
      </c>
      <c r="F55" s="3"/>
      <c r="G55" s="233"/>
      <c r="H55" s="270"/>
      <c r="I55" s="92"/>
      <c r="J55" s="92"/>
      <c r="K55" s="92"/>
      <c r="L55" s="91"/>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55"/>
      <c r="E57" s="3"/>
      <c r="F57" s="3"/>
      <c r="G57" s="3"/>
      <c r="H57" s="3"/>
      <c r="I57" s="3"/>
      <c r="J57" s="3"/>
      <c r="K57" s="3"/>
      <c r="L57" s="3"/>
      <c r="M57" s="3"/>
    </row>
    <row r="58" spans="1:35" ht="18.75">
      <c r="A58" s="3"/>
      <c r="B58" s="86" t="s">
        <v>44</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92" t="s">
        <v>291</v>
      </c>
      <c r="C60" s="693"/>
      <c r="D60" s="694"/>
      <c r="E60" s="3"/>
      <c r="F60" s="3"/>
      <c r="G60" s="3"/>
      <c r="H60" s="3"/>
      <c r="I60" s="3"/>
      <c r="J60" s="3"/>
      <c r="K60" s="3"/>
      <c r="L60" s="3"/>
      <c r="M60" s="36"/>
      <c r="O60"/>
    </row>
    <row r="61" spans="1:35">
      <c r="A61" s="3"/>
      <c r="B61" s="96"/>
      <c r="C61" s="393" t="s">
        <v>45</v>
      </c>
      <c r="D61" s="394" t="s">
        <v>46</v>
      </c>
      <c r="E61" s="3"/>
      <c r="F61" s="3"/>
      <c r="G61" s="3"/>
      <c r="H61" s="3"/>
      <c r="I61" s="3"/>
      <c r="J61" s="3"/>
      <c r="K61" s="3"/>
      <c r="L61" s="3"/>
      <c r="M61" s="36"/>
      <c r="O61"/>
    </row>
    <row r="62" spans="1:35">
      <c r="A62" s="3"/>
      <c r="B62" s="395" t="s">
        <v>272</v>
      </c>
      <c r="C62" s="318"/>
      <c r="D62" s="319"/>
      <c r="E62" s="3"/>
      <c r="F62" s="3"/>
      <c r="G62" s="3"/>
      <c r="H62" s="3"/>
      <c r="I62" s="3"/>
      <c r="J62" s="3"/>
      <c r="K62" s="3"/>
      <c r="L62" s="3"/>
      <c r="M62" s="36"/>
      <c r="O62"/>
    </row>
    <row r="63" spans="1:35">
      <c r="A63" s="3"/>
      <c r="B63" s="396" t="s">
        <v>9</v>
      </c>
      <c r="C63" s="318">
        <v>1</v>
      </c>
      <c r="D63" s="319">
        <v>1</v>
      </c>
      <c r="E63" s="3"/>
      <c r="F63" s="3"/>
      <c r="G63" s="3"/>
      <c r="H63" s="269"/>
      <c r="I63" s="269"/>
      <c r="J63" s="3"/>
      <c r="K63" s="3"/>
      <c r="L63" s="3"/>
      <c r="M63" s="36"/>
      <c r="O63"/>
    </row>
    <row r="64" spans="1:35" ht="15.75" thickBot="1">
      <c r="A64" s="3"/>
      <c r="B64" s="397" t="s">
        <v>10</v>
      </c>
      <c r="C64" s="320" t="s">
        <v>334</v>
      </c>
      <c r="D64" s="321" t="s">
        <v>334</v>
      </c>
      <c r="E64" s="3"/>
      <c r="F64" s="3"/>
      <c r="G64" s="3"/>
      <c r="H64" s="269"/>
      <c r="I64" s="269"/>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361"/>
      <c r="M66" s="3"/>
      <c r="AC66" s="19"/>
      <c r="AD66" s="19"/>
    </row>
    <row r="67" spans="1:30" ht="19.5" thickBot="1">
      <c r="A67" s="3"/>
      <c r="B67" s="97" t="s">
        <v>47</v>
      </c>
      <c r="C67" s="98"/>
      <c r="D67" s="98"/>
      <c r="E67" s="98"/>
      <c r="F67" s="98"/>
      <c r="G67" s="98"/>
      <c r="H67" s="398" t="s">
        <v>48</v>
      </c>
      <c r="I67" s="98"/>
      <c r="J67" s="99"/>
      <c r="K67" s="99"/>
      <c r="L67" s="362"/>
      <c r="M67" s="363"/>
      <c r="N67" s="81"/>
      <c r="O67" s="81"/>
      <c r="P67" s="81"/>
      <c r="S67" s="44"/>
      <c r="AC67" s="19"/>
      <c r="AD67" s="19"/>
    </row>
    <row r="68" spans="1:30" ht="18.75">
      <c r="A68" s="3"/>
      <c r="B68" s="101"/>
      <c r="C68" s="100"/>
      <c r="D68" s="100"/>
      <c r="E68" s="100"/>
      <c r="F68" s="100"/>
      <c r="G68" s="100"/>
      <c r="H68" s="100"/>
      <c r="I68" s="100"/>
      <c r="J68" s="100"/>
      <c r="K68" s="102"/>
      <c r="L68" s="102"/>
      <c r="M68" s="100"/>
      <c r="N68" s="81"/>
      <c r="O68" s="81"/>
      <c r="P68" s="81"/>
      <c r="S68" s="44"/>
      <c r="AC68" s="19"/>
      <c r="AD68" s="19"/>
    </row>
    <row r="69" spans="1:30" ht="18.75">
      <c r="A69" s="3"/>
      <c r="B69" s="101" t="s">
        <v>292</v>
      </c>
      <c r="C69" s="100"/>
      <c r="D69" s="100"/>
      <c r="E69" s="100"/>
      <c r="F69" s="100"/>
      <c r="G69" s="100"/>
      <c r="H69" s="100"/>
      <c r="I69" s="100"/>
      <c r="J69" s="100"/>
      <c r="K69" s="102"/>
      <c r="L69" s="102"/>
      <c r="M69" s="100"/>
      <c r="N69" s="81"/>
      <c r="O69" s="81"/>
      <c r="P69" s="81"/>
      <c r="S69" s="44"/>
      <c r="AC69" s="19"/>
      <c r="AD69" s="19"/>
    </row>
    <row r="70" spans="1:30" ht="15.75" thickBot="1">
      <c r="A70" s="3"/>
      <c r="B70" s="2"/>
      <c r="C70" s="103"/>
      <c r="D70" s="103"/>
      <c r="E70" s="103"/>
      <c r="F70" s="103"/>
      <c r="G70" s="103"/>
      <c r="H70" s="2"/>
      <c r="I70" s="103"/>
      <c r="J70" s="2"/>
      <c r="K70" s="2"/>
      <c r="L70" s="2"/>
      <c r="M70" s="2"/>
      <c r="N70" s="20"/>
      <c r="O70" s="19"/>
      <c r="P70" s="19"/>
      <c r="Q70" s="19"/>
      <c r="R70" s="19"/>
      <c r="S70" s="19"/>
      <c r="AD70" s="19"/>
    </row>
    <row r="71" spans="1:30" ht="45">
      <c r="A71" s="3"/>
      <c r="B71" s="648"/>
      <c r="C71" s="649"/>
      <c r="D71" s="399" t="s">
        <v>49</v>
      </c>
      <c r="E71" s="400" t="s">
        <v>50</v>
      </c>
      <c r="F71" s="400" t="s">
        <v>51</v>
      </c>
      <c r="G71" s="401" t="s">
        <v>135</v>
      </c>
      <c r="H71" s="277"/>
      <c r="I71" s="278"/>
      <c r="J71" s="15"/>
      <c r="K71" s="2"/>
      <c r="L71" s="2"/>
      <c r="M71" s="2"/>
      <c r="N71" s="20"/>
      <c r="O71" s="19"/>
      <c r="P71" s="19"/>
      <c r="Q71" s="19"/>
      <c r="R71" s="19"/>
      <c r="S71" s="19"/>
    </row>
    <row r="72" spans="1:30">
      <c r="A72" s="3"/>
      <c r="B72" s="679" t="s">
        <v>293</v>
      </c>
      <c r="C72" s="680"/>
      <c r="D72" s="235">
        <v>5</v>
      </c>
      <c r="E72" s="235">
        <v>4</v>
      </c>
      <c r="F72" s="235">
        <v>0</v>
      </c>
      <c r="G72" s="104">
        <f>SUM(D72:F72)</f>
        <v>9</v>
      </c>
      <c r="H72" s="266"/>
      <c r="I72" s="276"/>
      <c r="J72" s="276"/>
      <c r="K72" s="2"/>
      <c r="L72" s="2"/>
      <c r="M72" s="2"/>
      <c r="N72" s="20"/>
      <c r="O72" s="19"/>
      <c r="P72" s="19"/>
      <c r="Q72" s="19"/>
      <c r="R72" s="19"/>
      <c r="S72" s="19"/>
    </row>
    <row r="73" spans="1:30" ht="15.75" thickBot="1">
      <c r="A73" s="3"/>
      <c r="B73" s="696" t="s">
        <v>290</v>
      </c>
      <c r="C73" s="697"/>
      <c r="D73" s="236"/>
      <c r="E73" s="236"/>
      <c r="F73" s="236"/>
      <c r="G73" s="105">
        <f>SUM(D73:F73)</f>
        <v>0</v>
      </c>
      <c r="H73" s="266"/>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01" t="s">
        <v>287</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06"/>
      <c r="C78" s="402" t="s">
        <v>52</v>
      </c>
      <c r="D78" s="402" t="s">
        <v>53</v>
      </c>
      <c r="E78" s="403" t="s">
        <v>54</v>
      </c>
      <c r="F78" s="15"/>
      <c r="G78" s="15"/>
      <c r="H78" s="15"/>
      <c r="I78" s="278"/>
      <c r="J78" s="2"/>
      <c r="K78" s="2"/>
      <c r="L78" s="2"/>
      <c r="M78" s="2"/>
      <c r="N78" s="19"/>
      <c r="O78" s="19"/>
      <c r="P78" s="19"/>
      <c r="S78" s="19"/>
    </row>
    <row r="79" spans="1:30" ht="15.75" thickBot="1">
      <c r="A79" s="3"/>
      <c r="B79" s="485" t="s">
        <v>55</v>
      </c>
      <c r="C79" s="304">
        <v>9</v>
      </c>
      <c r="D79" s="304">
        <v>9</v>
      </c>
      <c r="E79" s="305">
        <f>+C79-D79</f>
        <v>0</v>
      </c>
      <c r="F79" s="243"/>
      <c r="G79" s="251"/>
      <c r="H79" s="15"/>
      <c r="I79" s="276"/>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01" t="s">
        <v>288</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06"/>
      <c r="C83" s="402" t="s">
        <v>56</v>
      </c>
      <c r="D83" s="402" t="s">
        <v>57</v>
      </c>
      <c r="E83" s="402" t="s">
        <v>58</v>
      </c>
      <c r="F83" s="402" t="s">
        <v>59</v>
      </c>
      <c r="G83" s="404" t="s">
        <v>60</v>
      </c>
      <c r="H83" s="252"/>
      <c r="I83" s="278"/>
      <c r="J83" s="2"/>
      <c r="K83" s="2"/>
      <c r="L83" s="2"/>
      <c r="M83" s="2"/>
      <c r="N83" s="19"/>
      <c r="O83" s="19"/>
      <c r="P83" s="19"/>
      <c r="S83" s="19"/>
    </row>
    <row r="84" spans="1:36" ht="15.75" thickBot="1">
      <c r="A84" s="3"/>
      <c r="B84" s="485" t="s">
        <v>61</v>
      </c>
      <c r="C84" s="304">
        <v>0</v>
      </c>
      <c r="D84" s="304">
        <v>0</v>
      </c>
      <c r="E84" s="304">
        <v>0</v>
      </c>
      <c r="F84" s="304">
        <v>0</v>
      </c>
      <c r="G84" s="306">
        <v>0</v>
      </c>
      <c r="H84" s="279"/>
      <c r="I84" s="266"/>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01" t="s">
        <v>294</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06"/>
      <c r="C88" s="405" t="s">
        <v>273</v>
      </c>
      <c r="D88" s="405" t="s">
        <v>274</v>
      </c>
      <c r="E88" s="406" t="s">
        <v>275</v>
      </c>
      <c r="F88" s="2"/>
      <c r="G88" s="2"/>
      <c r="H88" s="2"/>
      <c r="I88" s="2"/>
      <c r="J88" s="19"/>
      <c r="K88" s="19"/>
      <c r="L88" s="19"/>
      <c r="N88"/>
      <c r="O88" s="19"/>
      <c r="AG88" s="36"/>
      <c r="AJ88"/>
    </row>
    <row r="89" spans="1:36">
      <c r="A89" s="3"/>
      <c r="B89" s="500" t="s">
        <v>245</v>
      </c>
      <c r="C89" s="235">
        <v>0</v>
      </c>
      <c r="D89" s="237">
        <v>0</v>
      </c>
      <c r="E89" s="280">
        <f>C89-D89</f>
        <v>0</v>
      </c>
      <c r="F89" s="2"/>
      <c r="G89" s="2"/>
      <c r="H89" s="2"/>
      <c r="I89" s="2"/>
      <c r="J89" s="19"/>
      <c r="K89" s="19"/>
      <c r="L89" s="19"/>
      <c r="N89"/>
      <c r="O89" s="19"/>
      <c r="AG89" s="36"/>
      <c r="AJ89"/>
    </row>
    <row r="90" spans="1:36" ht="15.75" thickBot="1">
      <c r="A90" s="3"/>
      <c r="B90" s="485" t="s">
        <v>246</v>
      </c>
      <c r="C90" s="236">
        <v>0</v>
      </c>
      <c r="D90" s="281">
        <v>0</v>
      </c>
      <c r="E90" s="280">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01" t="s">
        <v>307</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197"/>
      <c r="C94" s="324" t="s">
        <v>150</v>
      </c>
      <c r="D94" s="324" t="s">
        <v>151</v>
      </c>
      <c r="E94" s="324" t="s">
        <v>152</v>
      </c>
      <c r="F94" s="324" t="s">
        <v>153</v>
      </c>
      <c r="G94" s="324" t="s">
        <v>156</v>
      </c>
      <c r="H94" s="324" t="s">
        <v>157</v>
      </c>
      <c r="I94" s="324" t="s">
        <v>158</v>
      </c>
      <c r="J94" s="324" t="s">
        <v>159</v>
      </c>
      <c r="K94" s="324" t="s">
        <v>160</v>
      </c>
      <c r="L94" s="324" t="s">
        <v>161</v>
      </c>
      <c r="M94" s="324" t="s">
        <v>162</v>
      </c>
      <c r="N94" s="325" t="s">
        <v>182</v>
      </c>
      <c r="O94" s="20"/>
      <c r="P94" s="20"/>
      <c r="S94" s="19"/>
    </row>
    <row r="95" spans="1:36" ht="15" customHeight="1">
      <c r="A95" s="3"/>
      <c r="B95" s="486" t="s">
        <v>62</v>
      </c>
      <c r="C95" s="307">
        <v>0</v>
      </c>
      <c r="D95" s="307">
        <v>69565</v>
      </c>
      <c r="E95" s="307">
        <v>319605.86</v>
      </c>
      <c r="F95" s="307"/>
      <c r="G95" s="307"/>
      <c r="H95" s="307">
        <v>124364.75</v>
      </c>
      <c r="I95" s="307"/>
      <c r="J95" s="307"/>
      <c r="K95" s="307"/>
      <c r="L95" s="307"/>
      <c r="M95" s="307"/>
      <c r="N95" s="307"/>
      <c r="O95" s="20"/>
      <c r="P95" s="20"/>
      <c r="S95" s="19"/>
    </row>
    <row r="96" spans="1:36" ht="15" customHeight="1">
      <c r="A96" s="3"/>
      <c r="B96" s="486" t="s">
        <v>63</v>
      </c>
      <c r="C96" s="307">
        <v>0</v>
      </c>
      <c r="D96" s="307"/>
      <c r="E96" s="307"/>
      <c r="F96" s="307"/>
      <c r="G96" s="307"/>
      <c r="H96" s="307"/>
      <c r="I96" s="307"/>
      <c r="J96" s="307"/>
      <c r="K96" s="307"/>
      <c r="L96" s="307"/>
      <c r="M96" s="307"/>
      <c r="N96" s="307"/>
      <c r="O96" s="20"/>
      <c r="P96" s="20"/>
      <c r="S96" s="19"/>
    </row>
    <row r="97" spans="1:19" ht="15" customHeight="1">
      <c r="A97" s="3"/>
      <c r="B97" s="486" t="s">
        <v>64</v>
      </c>
      <c r="C97" s="307">
        <v>0</v>
      </c>
      <c r="D97" s="307">
        <v>0</v>
      </c>
      <c r="E97" s="307">
        <v>0</v>
      </c>
      <c r="F97" s="307"/>
      <c r="G97" s="307"/>
      <c r="H97" s="307"/>
      <c r="I97" s="307"/>
      <c r="J97" s="307"/>
      <c r="K97" s="307"/>
      <c r="L97" s="307"/>
      <c r="M97" s="307"/>
      <c r="N97" s="307"/>
      <c r="O97" s="20"/>
      <c r="P97" s="20"/>
      <c r="S97" s="19"/>
    </row>
    <row r="98" spans="1:19" ht="15" customHeight="1">
      <c r="A98" s="3"/>
      <c r="B98" s="487" t="s">
        <v>280</v>
      </c>
      <c r="C98" s="308">
        <f>+C95</f>
        <v>0</v>
      </c>
      <c r="D98" s="308">
        <f t="shared" ref="D98:N98" si="3">+C98+D95</f>
        <v>69565</v>
      </c>
      <c r="E98" s="308">
        <f>+D98+E95</f>
        <v>389170.86</v>
      </c>
      <c r="F98" s="308">
        <f t="shared" si="3"/>
        <v>389170.86</v>
      </c>
      <c r="G98" s="308">
        <f t="shared" si="3"/>
        <v>389170.86</v>
      </c>
      <c r="H98" s="308">
        <f t="shared" si="3"/>
        <v>513535.61</v>
      </c>
      <c r="I98" s="308">
        <f t="shared" si="3"/>
        <v>513535.61</v>
      </c>
      <c r="J98" s="308">
        <f t="shared" si="3"/>
        <v>513535.61</v>
      </c>
      <c r="K98" s="308">
        <f t="shared" si="3"/>
        <v>513535.61</v>
      </c>
      <c r="L98" s="308">
        <f t="shared" si="3"/>
        <v>513535.61</v>
      </c>
      <c r="M98" s="308">
        <f t="shared" si="3"/>
        <v>513535.61</v>
      </c>
      <c r="N98" s="308">
        <f t="shared" si="3"/>
        <v>513535.61</v>
      </c>
      <c r="O98" s="20"/>
      <c r="P98" s="20"/>
      <c r="S98" s="19"/>
    </row>
    <row r="99" spans="1:19" ht="15" customHeight="1">
      <c r="A99" s="3"/>
      <c r="B99" s="487" t="s">
        <v>65</v>
      </c>
      <c r="C99" s="308">
        <f>+C96</f>
        <v>0</v>
      </c>
      <c r="D99" s="308">
        <f t="shared" ref="D99:N99" si="4">+C99+D96</f>
        <v>0</v>
      </c>
      <c r="E99" s="308">
        <f>+D99+E96</f>
        <v>0</v>
      </c>
      <c r="F99" s="308">
        <f t="shared" si="4"/>
        <v>0</v>
      </c>
      <c r="G99" s="308">
        <f t="shared" si="4"/>
        <v>0</v>
      </c>
      <c r="H99" s="308">
        <f t="shared" si="4"/>
        <v>0</v>
      </c>
      <c r="I99" s="308">
        <f t="shared" si="4"/>
        <v>0</v>
      </c>
      <c r="J99" s="308">
        <f t="shared" si="4"/>
        <v>0</v>
      </c>
      <c r="K99" s="308">
        <f t="shared" si="4"/>
        <v>0</v>
      </c>
      <c r="L99" s="308">
        <f t="shared" si="4"/>
        <v>0</v>
      </c>
      <c r="M99" s="308">
        <f t="shared" si="4"/>
        <v>0</v>
      </c>
      <c r="N99" s="308">
        <f t="shared" si="4"/>
        <v>0</v>
      </c>
      <c r="O99" s="20"/>
      <c r="P99" s="20"/>
      <c r="S99" s="19"/>
    </row>
    <row r="100" spans="1:19">
      <c r="A100" s="3"/>
      <c r="B100" s="488" t="s">
        <v>66</v>
      </c>
      <c r="C100" s="309">
        <f>+C97</f>
        <v>0</v>
      </c>
      <c r="D100" s="308">
        <f t="shared" ref="D100:N100" si="5">+C100+D97</f>
        <v>0</v>
      </c>
      <c r="E100" s="308">
        <f>+D100+E97</f>
        <v>0</v>
      </c>
      <c r="F100" s="308">
        <f t="shared" si="5"/>
        <v>0</v>
      </c>
      <c r="G100" s="308">
        <f t="shared" si="5"/>
        <v>0</v>
      </c>
      <c r="H100" s="308">
        <f t="shared" si="5"/>
        <v>0</v>
      </c>
      <c r="I100" s="308">
        <f t="shared" si="5"/>
        <v>0</v>
      </c>
      <c r="J100" s="308">
        <f t="shared" si="5"/>
        <v>0</v>
      </c>
      <c r="K100" s="308">
        <f t="shared" si="5"/>
        <v>0</v>
      </c>
      <c r="L100" s="308">
        <f t="shared" si="5"/>
        <v>0</v>
      </c>
      <c r="M100" s="308">
        <f t="shared" si="5"/>
        <v>0</v>
      </c>
      <c r="N100" s="308">
        <f t="shared" si="5"/>
        <v>0</v>
      </c>
      <c r="O100" s="20"/>
      <c r="P100" s="20"/>
      <c r="S100" s="19"/>
    </row>
    <row r="101" spans="1:19">
      <c r="A101" s="3"/>
      <c r="B101" s="3"/>
      <c r="C101" s="2"/>
      <c r="D101" s="2"/>
      <c r="E101" s="2"/>
      <c r="F101" s="2"/>
      <c r="G101" s="2"/>
      <c r="H101" s="2"/>
      <c r="I101" s="15"/>
      <c r="J101" s="107"/>
      <c r="K101" s="108"/>
      <c r="L101" s="15"/>
      <c r="M101" s="109"/>
      <c r="N101" s="20"/>
      <c r="O101" s="20"/>
      <c r="P101" s="20"/>
      <c r="S101" s="19"/>
    </row>
    <row r="102" spans="1:19">
      <c r="A102" s="3"/>
      <c r="B102" s="407" t="s">
        <v>295</v>
      </c>
      <c r="C102" s="2"/>
      <c r="D102" s="2"/>
      <c r="E102" s="2"/>
      <c r="F102" s="2"/>
      <c r="G102" s="2"/>
      <c r="H102" s="2"/>
      <c r="I102" s="15"/>
      <c r="J102" s="107"/>
      <c r="K102" s="108"/>
      <c r="L102" s="15"/>
      <c r="M102" s="109"/>
      <c r="N102" s="20"/>
      <c r="O102" s="20"/>
      <c r="P102" s="20"/>
      <c r="S102" s="19"/>
    </row>
    <row r="103" spans="1:19">
      <c r="A103" s="3"/>
      <c r="C103" s="2"/>
      <c r="D103" s="2"/>
      <c r="E103" s="2"/>
      <c r="F103" s="2"/>
      <c r="G103" s="2"/>
      <c r="H103" s="2"/>
      <c r="I103" s="15"/>
      <c r="J103" s="107"/>
      <c r="K103" s="109"/>
      <c r="L103" s="15"/>
      <c r="M103" s="109"/>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01" t="s">
        <v>289</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135" customHeight="1">
      <c r="A107" s="3"/>
      <c r="B107" s="489" t="s">
        <v>67</v>
      </c>
      <c r="C107" s="408" t="s">
        <v>68</v>
      </c>
      <c r="D107" s="409" t="s">
        <v>296</v>
      </c>
      <c r="E107" s="409" t="s">
        <v>69</v>
      </c>
      <c r="F107" s="410" t="s">
        <v>11</v>
      </c>
      <c r="G107" s="410" t="s">
        <v>70</v>
      </c>
      <c r="H107" s="409" t="s">
        <v>281</v>
      </c>
      <c r="I107" s="409" t="s">
        <v>12</v>
      </c>
      <c r="J107" s="409" t="s">
        <v>13</v>
      </c>
      <c r="K107" s="411" t="s">
        <v>71</v>
      </c>
      <c r="L107" s="2"/>
      <c r="M107" s="20"/>
      <c r="N107" s="20"/>
      <c r="O107" s="20"/>
      <c r="P107" s="19"/>
      <c r="R107" s="20"/>
    </row>
    <row r="108" spans="1:19">
      <c r="A108" s="3"/>
      <c r="B108" s="652" t="s">
        <v>72</v>
      </c>
      <c r="C108" s="412" t="s">
        <v>317</v>
      </c>
      <c r="D108" s="353"/>
      <c r="E108" s="354" t="str">
        <f>IF(ISBLANK(D108),"",D108*30)</f>
        <v/>
      </c>
      <c r="F108" s="310"/>
      <c r="G108" s="311" t="str">
        <f>IF(AND(E108&gt;0,F108&gt;0),(F108*E108),"")</f>
        <v/>
      </c>
      <c r="H108" s="310"/>
      <c r="I108" s="368" t="str">
        <f>IF(AND(G108&gt;0,H108&gt;0),H108/G108,"")</f>
        <v/>
      </c>
      <c r="J108" s="355"/>
      <c r="K108" s="369" t="str">
        <f>IF(AND(I108&gt;0,J108&gt;0),I108-J108,"")</f>
        <v/>
      </c>
      <c r="L108" s="2"/>
      <c r="M108" s="20"/>
      <c r="N108" s="20"/>
      <c r="O108" s="20"/>
      <c r="P108" s="19"/>
      <c r="R108" s="20"/>
    </row>
    <row r="109" spans="1:19">
      <c r="A109" s="3"/>
      <c r="B109" s="653"/>
      <c r="C109" s="412" t="s">
        <v>318</v>
      </c>
      <c r="D109" s="353"/>
      <c r="E109" s="354" t="str">
        <f>IF(ISBLANK(D109),"",D109*30)</f>
        <v/>
      </c>
      <c r="F109" s="310"/>
      <c r="G109" s="311" t="str">
        <f>IF(AND(E109&gt;0,F109&gt;0),(F109*E109),"")</f>
        <v/>
      </c>
      <c r="H109" s="310"/>
      <c r="I109" s="368" t="str">
        <f>IF(AND(G109&gt;0,H109&gt;0),H109/G109,"")</f>
        <v/>
      </c>
      <c r="J109" s="355"/>
      <c r="K109" s="369" t="str">
        <f>IF(AND(I109&gt;0,J109&gt;0),I109-J109,"")</f>
        <v/>
      </c>
      <c r="L109" s="2"/>
      <c r="M109" s="20"/>
      <c r="N109" s="20"/>
      <c r="O109" s="20"/>
      <c r="P109" s="19"/>
    </row>
    <row r="110" spans="1:19">
      <c r="A110" s="3"/>
      <c r="B110" s="653"/>
      <c r="C110" s="412" t="s">
        <v>319</v>
      </c>
      <c r="D110" s="353"/>
      <c r="E110" s="354" t="str">
        <f>IF(ISBLANK(D110),"",D110*30)</f>
        <v/>
      </c>
      <c r="F110" s="310"/>
      <c r="G110" s="311" t="str">
        <f>IF(AND(E110&gt;0,F110&gt;0),(F110*E110),"")</f>
        <v/>
      </c>
      <c r="H110" s="310"/>
      <c r="I110" s="368" t="str">
        <f>IF(AND(G110&gt;0,H110&gt;0),H110/G110,"")</f>
        <v/>
      </c>
      <c r="J110" s="355"/>
      <c r="K110" s="369" t="str">
        <f>IF(AND(I110&gt;0,J110&gt;0),I110-J110,"")</f>
        <v/>
      </c>
      <c r="L110" s="2"/>
      <c r="M110" s="20"/>
      <c r="N110" s="20"/>
      <c r="O110" s="20"/>
      <c r="P110" s="19"/>
      <c r="R110" s="20"/>
    </row>
    <row r="111" spans="1:19" ht="15.75" thickBot="1">
      <c r="A111" s="3"/>
      <c r="B111" s="654"/>
      <c r="C111" s="356"/>
      <c r="D111" s="357"/>
      <c r="E111" s="354" t="str">
        <f>IF(ISBLANK(D111),"",D111*30)</f>
        <v/>
      </c>
      <c r="F111" s="312"/>
      <c r="G111" s="311" t="str">
        <f>IF(AND(E111&gt;0,F111&gt;0),(F111*E111),"")</f>
        <v/>
      </c>
      <c r="H111" s="312"/>
      <c r="I111" s="368" t="str">
        <f>IF(AND(G111&gt;0,H111&gt;0),H111/G111,"")</f>
        <v/>
      </c>
      <c r="J111" s="358"/>
      <c r="K111" s="369" t="str">
        <f>IF(AND(I111&gt;0,J111&gt;0),I111-J111,"")</f>
        <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15.75" thickBot="1">
      <c r="A113" s="3"/>
      <c r="B113" s="3"/>
      <c r="C113" s="3"/>
      <c r="D113" s="3"/>
      <c r="E113" s="3"/>
      <c r="F113" s="3"/>
      <c r="G113" s="3"/>
      <c r="H113" s="3"/>
      <c r="I113" s="2"/>
      <c r="J113" s="100"/>
      <c r="K113" s="100"/>
      <c r="L113" s="3"/>
      <c r="M113" s="3"/>
    </row>
    <row r="114" spans="1:20" ht="19.5" thickBot="1">
      <c r="A114" s="3"/>
      <c r="B114" s="217" t="s">
        <v>73</v>
      </c>
      <c r="C114" s="110"/>
      <c r="D114" s="110"/>
      <c r="E114" s="111"/>
      <c r="F114" s="111"/>
      <c r="G114" s="111"/>
      <c r="H114" s="230"/>
      <c r="I114" s="218"/>
      <c r="J114" s="291"/>
      <c r="K114" s="413" t="s">
        <v>74</v>
      </c>
      <c r="L114" s="111"/>
      <c r="M114" s="292"/>
      <c r="N114" s="293"/>
      <c r="O114" s="293"/>
      <c r="P114" s="360"/>
      <c r="Q114" s="36"/>
    </row>
    <row r="115" spans="1:20" ht="15.75" thickBot="1">
      <c r="A115" s="3"/>
      <c r="B115" s="3"/>
      <c r="C115" s="3"/>
      <c r="D115" s="3"/>
      <c r="E115" s="3"/>
      <c r="F115" s="3"/>
      <c r="G115" s="3"/>
      <c r="H115" s="3"/>
      <c r="I115" s="3"/>
      <c r="J115" s="3"/>
      <c r="K115" s="3"/>
      <c r="L115" s="3"/>
      <c r="M115" s="3"/>
      <c r="N115"/>
      <c r="O115"/>
      <c r="P115" s="36"/>
      <c r="Q115" s="36"/>
    </row>
    <row r="116" spans="1:20" ht="25.5">
      <c r="A116" s="3"/>
      <c r="B116" s="698" t="s">
        <v>75</v>
      </c>
      <c r="C116" s="699"/>
      <c r="D116" s="700"/>
      <c r="E116" s="414" t="s">
        <v>76</v>
      </c>
      <c r="F116" s="446" t="s">
        <v>77</v>
      </c>
      <c r="G116" s="221"/>
      <c r="H116" s="340" t="s">
        <v>150</v>
      </c>
      <c r="I116" s="340" t="s">
        <v>151</v>
      </c>
      <c r="J116" s="340" t="s">
        <v>152</v>
      </c>
      <c r="K116" s="340" t="s">
        <v>153</v>
      </c>
      <c r="L116" s="340" t="s">
        <v>156</v>
      </c>
      <c r="M116" s="340" t="s">
        <v>157</v>
      </c>
      <c r="N116" s="340" t="s">
        <v>158</v>
      </c>
      <c r="O116" s="340" t="s">
        <v>159</v>
      </c>
      <c r="P116" s="340" t="s">
        <v>160</v>
      </c>
      <c r="Q116" s="340" t="s">
        <v>161</v>
      </c>
      <c r="R116" s="340" t="s">
        <v>162</v>
      </c>
      <c r="S116" s="341" t="s">
        <v>182</v>
      </c>
      <c r="T116" s="63"/>
    </row>
    <row r="117" spans="1:20">
      <c r="A117" s="3"/>
      <c r="B117" s="461"/>
      <c r="C117" s="462"/>
      <c r="D117" s="462"/>
      <c r="E117" s="463"/>
      <c r="F117" s="464"/>
      <c r="G117" s="465"/>
      <c r="H117" s="466"/>
      <c r="I117" s="466"/>
      <c r="J117" s="466"/>
      <c r="K117" s="466"/>
      <c r="L117" s="466"/>
      <c r="M117" s="466"/>
      <c r="N117" s="466"/>
      <c r="O117" s="466"/>
      <c r="P117" s="466"/>
      <c r="Q117" s="466"/>
      <c r="R117" s="466"/>
      <c r="S117" s="467"/>
      <c r="T117" s="63"/>
    </row>
    <row r="118" spans="1:20" ht="15" customHeight="1">
      <c r="A118" s="681" t="s">
        <v>78</v>
      </c>
      <c r="B118" s="686" t="s">
        <v>337</v>
      </c>
      <c r="C118" s="687"/>
      <c r="D118" s="688"/>
      <c r="E118" s="611" t="s">
        <v>342</v>
      </c>
      <c r="F118" s="613"/>
      <c r="G118" s="497" t="s">
        <v>79</v>
      </c>
      <c r="H118" s="112"/>
      <c r="I118" s="112">
        <v>65453</v>
      </c>
      <c r="J118" s="112"/>
      <c r="K118" s="112"/>
      <c r="L118" s="112"/>
      <c r="M118" s="112">
        <v>78544</v>
      </c>
      <c r="N118" s="112"/>
      <c r="O118" s="112"/>
      <c r="P118" s="112"/>
      <c r="Q118" s="112"/>
      <c r="R118" s="112"/>
      <c r="S118" s="113"/>
      <c r="T118" s="63"/>
    </row>
    <row r="119" spans="1:20">
      <c r="A119" s="682"/>
      <c r="B119" s="689"/>
      <c r="C119" s="690"/>
      <c r="D119" s="691"/>
      <c r="E119" s="612"/>
      <c r="F119" s="614"/>
      <c r="G119" s="497" t="s">
        <v>282</v>
      </c>
      <c r="H119" s="112"/>
      <c r="I119" s="112">
        <v>16821</v>
      </c>
      <c r="J119" s="112"/>
      <c r="K119" s="254">
        <v>9261</v>
      </c>
      <c r="L119" s="112"/>
      <c r="M119" s="112"/>
      <c r="N119" s="112"/>
      <c r="O119" s="112"/>
      <c r="P119" s="112"/>
      <c r="Q119" s="112"/>
      <c r="R119" s="112"/>
      <c r="S119" s="113"/>
      <c r="T119" s="63"/>
    </row>
    <row r="120" spans="1:20" ht="15" customHeight="1">
      <c r="A120" s="682"/>
      <c r="B120" s="628" t="s">
        <v>338</v>
      </c>
      <c r="C120" s="629"/>
      <c r="D120" s="630"/>
      <c r="E120" s="617" t="s">
        <v>343</v>
      </c>
      <c r="F120" s="615"/>
      <c r="G120" s="498" t="s">
        <v>79</v>
      </c>
      <c r="H120" s="474"/>
      <c r="I120" s="474">
        <v>6907</v>
      </c>
      <c r="J120" s="474"/>
      <c r="K120" s="474"/>
      <c r="L120" s="474"/>
      <c r="M120" s="474">
        <v>8979</v>
      </c>
      <c r="N120" s="474"/>
      <c r="O120" s="474"/>
      <c r="P120" s="474"/>
      <c r="Q120" s="474"/>
      <c r="R120" s="474"/>
      <c r="S120" s="476"/>
      <c r="T120" s="63"/>
    </row>
    <row r="121" spans="1:20">
      <c r="A121" s="682"/>
      <c r="B121" s="645"/>
      <c r="C121" s="629"/>
      <c r="D121" s="630"/>
      <c r="E121" s="618"/>
      <c r="F121" s="616"/>
      <c r="G121" s="498" t="s">
        <v>282</v>
      </c>
      <c r="H121" s="474"/>
      <c r="I121" s="474">
        <v>1422</v>
      </c>
      <c r="J121" s="477"/>
      <c r="K121" s="478">
        <v>938</v>
      </c>
      <c r="L121" s="477"/>
      <c r="M121" s="477"/>
      <c r="N121" s="477"/>
      <c r="O121" s="477"/>
      <c r="P121" s="474"/>
      <c r="Q121" s="474"/>
      <c r="R121" s="474"/>
      <c r="S121" s="476"/>
      <c r="T121" s="63"/>
    </row>
    <row r="122" spans="1:20" ht="15" customHeight="1">
      <c r="A122" s="682"/>
      <c r="B122" s="695" t="s">
        <v>339</v>
      </c>
      <c r="C122" s="690"/>
      <c r="D122" s="691"/>
      <c r="E122" s="611" t="s">
        <v>344</v>
      </c>
      <c r="F122" s="613"/>
      <c r="G122" s="497" t="s">
        <v>79</v>
      </c>
      <c r="H122" s="112"/>
      <c r="I122" s="112">
        <v>57165</v>
      </c>
      <c r="J122" s="112"/>
      <c r="K122" s="112"/>
      <c r="L122" s="112"/>
      <c r="M122" s="112">
        <v>59452</v>
      </c>
      <c r="N122" s="112"/>
      <c r="O122" s="112"/>
      <c r="P122" s="112"/>
      <c r="Q122" s="112"/>
      <c r="R122" s="112"/>
      <c r="S122" s="113"/>
      <c r="T122" s="63"/>
    </row>
    <row r="123" spans="1:20">
      <c r="A123" s="682"/>
      <c r="B123" s="689"/>
      <c r="C123" s="690"/>
      <c r="D123" s="691"/>
      <c r="E123" s="612"/>
      <c r="F123" s="614"/>
      <c r="G123" s="497" t="s">
        <v>282</v>
      </c>
      <c r="H123" s="112"/>
      <c r="I123" s="112">
        <v>66292</v>
      </c>
      <c r="J123" s="112"/>
      <c r="K123" s="112">
        <v>68597</v>
      </c>
      <c r="L123" s="112"/>
      <c r="M123" s="112"/>
      <c r="N123" s="112"/>
      <c r="O123" s="112"/>
      <c r="P123" s="112"/>
      <c r="Q123" s="112"/>
      <c r="R123" s="112"/>
      <c r="S123" s="113"/>
      <c r="T123" s="63"/>
    </row>
    <row r="124" spans="1:20" ht="15" customHeight="1">
      <c r="A124" s="3"/>
      <c r="B124" s="628" t="s">
        <v>340</v>
      </c>
      <c r="C124" s="629"/>
      <c r="D124" s="630"/>
      <c r="E124" s="617" t="s">
        <v>345</v>
      </c>
      <c r="F124" s="615"/>
      <c r="G124" s="498" t="s">
        <v>79</v>
      </c>
      <c r="H124" s="477"/>
      <c r="I124" s="474">
        <v>1029</v>
      </c>
      <c r="J124" s="474"/>
      <c r="K124" s="474"/>
      <c r="L124" s="474"/>
      <c r="M124" s="474">
        <v>1183</v>
      </c>
      <c r="N124" s="474"/>
      <c r="O124" s="474"/>
      <c r="P124" s="474"/>
      <c r="Q124" s="474"/>
      <c r="R124" s="474"/>
      <c r="S124" s="476"/>
      <c r="T124" s="63"/>
    </row>
    <row r="125" spans="1:20">
      <c r="A125" s="3"/>
      <c r="B125" s="645"/>
      <c r="C125" s="629"/>
      <c r="D125" s="630"/>
      <c r="E125" s="618"/>
      <c r="F125" s="616"/>
      <c r="G125" s="498" t="s">
        <v>282</v>
      </c>
      <c r="H125" s="477"/>
      <c r="I125" s="474">
        <v>1361</v>
      </c>
      <c r="J125" s="474"/>
      <c r="K125" s="475">
        <v>264</v>
      </c>
      <c r="L125" s="474"/>
      <c r="M125" s="474"/>
      <c r="N125" s="474"/>
      <c r="O125" s="474"/>
      <c r="P125" s="474"/>
      <c r="Q125" s="474"/>
      <c r="R125" s="474"/>
      <c r="S125" s="476"/>
      <c r="T125" s="63"/>
    </row>
    <row r="126" spans="1:20" ht="15" customHeight="1">
      <c r="A126" s="3"/>
      <c r="B126" s="641" t="s">
        <v>341</v>
      </c>
      <c r="C126" s="642"/>
      <c r="D126" s="643"/>
      <c r="E126" s="611" t="s">
        <v>335</v>
      </c>
      <c r="F126" s="613"/>
      <c r="G126" s="497" t="s">
        <v>79</v>
      </c>
      <c r="H126" s="452"/>
      <c r="I126" s="452">
        <v>4200</v>
      </c>
      <c r="J126" s="452"/>
      <c r="K126" s="452"/>
      <c r="L126" s="452"/>
      <c r="M126" s="452">
        <v>4700</v>
      </c>
      <c r="N126" s="452"/>
      <c r="O126" s="452"/>
      <c r="P126" s="452"/>
      <c r="Q126" s="452"/>
      <c r="R126" s="452"/>
      <c r="S126" s="454"/>
      <c r="T126" s="63"/>
    </row>
    <row r="127" spans="1:20">
      <c r="A127" s="3"/>
      <c r="B127" s="644"/>
      <c r="C127" s="642"/>
      <c r="D127" s="643"/>
      <c r="E127" s="612"/>
      <c r="F127" s="614"/>
      <c r="G127" s="497" t="s">
        <v>282</v>
      </c>
      <c r="H127" s="452"/>
      <c r="I127" s="452">
        <v>10063</v>
      </c>
      <c r="J127" s="452"/>
      <c r="K127" s="453">
        <v>8995</v>
      </c>
      <c r="L127" s="452"/>
      <c r="M127" s="452"/>
      <c r="N127" s="452"/>
      <c r="O127" s="452"/>
      <c r="P127" s="452"/>
      <c r="Q127" s="452"/>
      <c r="R127" s="452"/>
      <c r="S127" s="454"/>
      <c r="T127" s="63"/>
    </row>
    <row r="128" spans="1:20" ht="15" customHeight="1">
      <c r="A128" s="3"/>
      <c r="B128" s="628" t="s">
        <v>346</v>
      </c>
      <c r="C128" s="629"/>
      <c r="D128" s="630"/>
      <c r="E128" s="617"/>
      <c r="F128" s="615"/>
      <c r="G128" s="498" t="s">
        <v>79</v>
      </c>
      <c r="H128" s="477"/>
      <c r="I128" s="478"/>
      <c r="J128" s="477"/>
      <c r="K128" s="478"/>
      <c r="L128" s="477"/>
      <c r="M128" s="477"/>
      <c r="N128" s="477"/>
      <c r="O128" s="477"/>
      <c r="P128" s="477"/>
      <c r="Q128" s="477"/>
      <c r="R128" s="477"/>
      <c r="S128" s="479"/>
      <c r="T128" s="63"/>
    </row>
    <row r="129" spans="1:21">
      <c r="A129" s="3"/>
      <c r="B129" s="645"/>
      <c r="C129" s="629"/>
      <c r="D129" s="630"/>
      <c r="E129" s="618"/>
      <c r="F129" s="616"/>
      <c r="G129" s="498" t="s">
        <v>282</v>
      </c>
      <c r="H129" s="477"/>
      <c r="I129" s="474"/>
      <c r="J129" s="474"/>
      <c r="K129" s="475">
        <v>2977</v>
      </c>
      <c r="L129" s="474"/>
      <c r="M129" s="475"/>
      <c r="N129" s="474"/>
      <c r="O129" s="474"/>
      <c r="P129" s="477"/>
      <c r="Q129" s="477"/>
      <c r="R129" s="477"/>
      <c r="S129" s="479"/>
      <c r="T129" s="63"/>
    </row>
    <row r="130" spans="1:21">
      <c r="A130" s="3"/>
      <c r="B130" s="641" t="s">
        <v>349</v>
      </c>
      <c r="C130" s="642"/>
      <c r="D130" s="643"/>
      <c r="E130" s="611"/>
      <c r="F130" s="613"/>
      <c r="G130" s="497" t="s">
        <v>79</v>
      </c>
      <c r="H130" s="452"/>
      <c r="I130" s="452"/>
      <c r="J130" s="452"/>
      <c r="K130" s="453"/>
      <c r="L130" s="452"/>
      <c r="M130" s="452"/>
      <c r="N130" s="452"/>
      <c r="O130" s="452"/>
      <c r="P130" s="452"/>
      <c r="Q130" s="452"/>
      <c r="R130" s="452"/>
      <c r="S130" s="454"/>
      <c r="T130" s="63"/>
    </row>
    <row r="131" spans="1:21">
      <c r="A131" s="3"/>
      <c r="B131" s="644"/>
      <c r="C131" s="642"/>
      <c r="D131" s="643"/>
      <c r="E131" s="612"/>
      <c r="F131" s="614"/>
      <c r="G131" s="497" t="s">
        <v>282</v>
      </c>
      <c r="H131" s="452"/>
      <c r="I131" s="452"/>
      <c r="J131" s="452"/>
      <c r="K131" s="453"/>
      <c r="L131" s="452"/>
      <c r="M131" s="452"/>
      <c r="N131" s="452"/>
      <c r="O131" s="452"/>
      <c r="P131" s="452"/>
      <c r="Q131" s="452"/>
      <c r="R131" s="452"/>
      <c r="S131" s="454"/>
      <c r="T131" s="63"/>
    </row>
    <row r="132" spans="1:21" ht="14.25" customHeight="1">
      <c r="A132" s="3"/>
      <c r="B132" s="628" t="s">
        <v>350</v>
      </c>
      <c r="C132" s="629"/>
      <c r="D132" s="630"/>
      <c r="E132" s="618"/>
      <c r="F132" s="615"/>
      <c r="G132" s="498" t="s">
        <v>79</v>
      </c>
      <c r="H132" s="477"/>
      <c r="I132" s="477"/>
      <c r="J132" s="477"/>
      <c r="K132" s="477"/>
      <c r="L132" s="477"/>
      <c r="M132" s="477"/>
      <c r="N132" s="477"/>
      <c r="O132" s="477"/>
      <c r="P132" s="477"/>
      <c r="Q132" s="477"/>
      <c r="R132" s="477"/>
      <c r="S132" s="479"/>
      <c r="T132" s="63"/>
    </row>
    <row r="133" spans="1:21">
      <c r="A133" s="3"/>
      <c r="B133" s="645"/>
      <c r="C133" s="629"/>
      <c r="D133" s="630"/>
      <c r="E133" s="618"/>
      <c r="F133" s="616"/>
      <c r="G133" s="498" t="s">
        <v>282</v>
      </c>
      <c r="H133" s="477"/>
      <c r="I133" s="477"/>
      <c r="J133" s="477"/>
      <c r="K133" s="477"/>
      <c r="L133" s="477"/>
      <c r="M133" s="477"/>
      <c r="N133" s="477"/>
      <c r="O133" s="477"/>
      <c r="P133" s="477"/>
      <c r="Q133" s="477"/>
      <c r="R133" s="477"/>
      <c r="S133" s="479"/>
      <c r="T133" s="63"/>
    </row>
    <row r="134" spans="1:21" ht="14.25" customHeight="1">
      <c r="A134" s="3"/>
      <c r="B134" s="641" t="s">
        <v>347</v>
      </c>
      <c r="C134" s="642"/>
      <c r="D134" s="643"/>
      <c r="E134" s="612"/>
      <c r="F134" s="613"/>
      <c r="G134" s="497" t="s">
        <v>79</v>
      </c>
      <c r="H134" s="452"/>
      <c r="I134" s="452"/>
      <c r="J134" s="452"/>
      <c r="K134" s="452"/>
      <c r="L134" s="452"/>
      <c r="M134" s="452"/>
      <c r="N134" s="452"/>
      <c r="O134" s="452"/>
      <c r="P134" s="452"/>
      <c r="Q134" s="452"/>
      <c r="R134" s="452"/>
      <c r="S134" s="454"/>
      <c r="T134" s="63"/>
    </row>
    <row r="135" spans="1:21">
      <c r="A135" s="3"/>
      <c r="B135" s="644"/>
      <c r="C135" s="642"/>
      <c r="D135" s="643"/>
      <c r="E135" s="612"/>
      <c r="F135" s="638"/>
      <c r="G135" s="497" t="s">
        <v>282</v>
      </c>
      <c r="H135" s="452"/>
      <c r="I135" s="452"/>
      <c r="J135" s="452"/>
      <c r="K135" s="452">
        <v>2575</v>
      </c>
      <c r="L135" s="452"/>
      <c r="M135" s="452"/>
      <c r="N135" s="452"/>
      <c r="O135" s="452"/>
      <c r="P135" s="452"/>
      <c r="Q135" s="452"/>
      <c r="R135" s="452"/>
      <c r="S135" s="454"/>
      <c r="T135" s="63"/>
    </row>
    <row r="136" spans="1:21" ht="14.25" customHeight="1">
      <c r="A136" s="3"/>
      <c r="B136" s="628" t="s">
        <v>348</v>
      </c>
      <c r="C136" s="629"/>
      <c r="D136" s="630"/>
      <c r="E136" s="618"/>
      <c r="F136" s="615"/>
      <c r="G136" s="498" t="s">
        <v>79</v>
      </c>
      <c r="H136" s="477"/>
      <c r="I136" s="477"/>
      <c r="J136" s="477"/>
      <c r="K136" s="477"/>
      <c r="L136" s="477"/>
      <c r="M136" s="477"/>
      <c r="N136" s="477"/>
      <c r="O136" s="477"/>
      <c r="P136" s="477"/>
      <c r="Q136" s="477"/>
      <c r="R136" s="477"/>
      <c r="S136" s="479"/>
      <c r="T136" s="63"/>
    </row>
    <row r="137" spans="1:21" ht="15.75" thickBot="1">
      <c r="A137" s="3"/>
      <c r="B137" s="631"/>
      <c r="C137" s="632"/>
      <c r="D137" s="633"/>
      <c r="E137" s="639"/>
      <c r="F137" s="640"/>
      <c r="G137" s="499" t="s">
        <v>282</v>
      </c>
      <c r="H137" s="480"/>
      <c r="I137" s="480"/>
      <c r="J137" s="480"/>
      <c r="K137" s="480">
        <v>59</v>
      </c>
      <c r="L137" s="480"/>
      <c r="M137" s="480"/>
      <c r="N137" s="480"/>
      <c r="O137" s="480"/>
      <c r="P137" s="480"/>
      <c r="Q137" s="480"/>
      <c r="R137" s="480"/>
      <c r="S137" s="481"/>
      <c r="T137" s="63"/>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282"/>
      <c r="C141" s="3"/>
      <c r="D141" s="3"/>
      <c r="E141" s="3"/>
      <c r="F141" s="3"/>
      <c r="G141" s="2"/>
      <c r="H141" s="3"/>
      <c r="I141" s="3"/>
      <c r="J141" s="3"/>
      <c r="K141" s="3"/>
      <c r="L141" s="3"/>
      <c r="M141" s="3"/>
      <c r="N141" s="3"/>
      <c r="O141" s="3"/>
      <c r="R141" s="36"/>
      <c r="S141" s="36"/>
    </row>
    <row r="142" spans="1:21" ht="25.5">
      <c r="A142" s="3"/>
      <c r="B142" s="415" t="s">
        <v>80</v>
      </c>
      <c r="C142" s="3"/>
      <c r="D142" s="3"/>
      <c r="E142" s="416" t="s">
        <v>76</v>
      </c>
      <c r="F142" s="447" t="s">
        <v>77</v>
      </c>
      <c r="G142" s="221"/>
      <c r="H142" s="340" t="str">
        <f t="shared" ref="H142:S142" si="6">C30</f>
        <v>P1</v>
      </c>
      <c r="I142" s="340" t="str">
        <f t="shared" si="6"/>
        <v>P2</v>
      </c>
      <c r="J142" s="340" t="str">
        <f t="shared" si="6"/>
        <v>P3</v>
      </c>
      <c r="K142" s="340" t="str">
        <f t="shared" si="6"/>
        <v>P4</v>
      </c>
      <c r="L142" s="340" t="str">
        <f t="shared" si="6"/>
        <v>P5</v>
      </c>
      <c r="M142" s="340" t="str">
        <f t="shared" si="6"/>
        <v>P6</v>
      </c>
      <c r="N142" s="340" t="str">
        <f t="shared" si="6"/>
        <v>P7</v>
      </c>
      <c r="O142" s="340" t="str">
        <f t="shared" si="6"/>
        <v>P8</v>
      </c>
      <c r="P142" s="340" t="str">
        <f t="shared" si="6"/>
        <v>P9</v>
      </c>
      <c r="Q142" s="340" t="str">
        <f t="shared" si="6"/>
        <v>P10</v>
      </c>
      <c r="R142" s="340" t="str">
        <f t="shared" si="6"/>
        <v>P11</v>
      </c>
      <c r="S142" s="340" t="str">
        <f t="shared" si="6"/>
        <v>P12</v>
      </c>
      <c r="T142" s="36"/>
      <c r="U142" s="36"/>
    </row>
    <row r="143" spans="1:21">
      <c r="A143" s="3"/>
      <c r="B143" s="622" t="str">
        <f>IF(ISBLANK(B118),"",(B118))</f>
        <v>Porcentaje de hombres que tienen relaciones sexuales con hombres que se han sometido a pruebas de VIH durante el período de informe y conocen los resultados</v>
      </c>
      <c r="C143" s="623"/>
      <c r="D143" s="624"/>
      <c r="E143" s="636" t="str">
        <f>IF(ISBLANK(E118),"",(E118))</f>
        <v>KP-3a(M)</v>
      </c>
      <c r="F143" s="637" t="str">
        <f>IF(ISBLANK(F118),"",(F118))</f>
        <v/>
      </c>
      <c r="G143" s="455" t="s">
        <v>79</v>
      </c>
      <c r="H143" s="366">
        <f t="shared" ref="H143:S143" si="7">H118</f>
        <v>0</v>
      </c>
      <c r="I143" s="366">
        <f t="shared" si="7"/>
        <v>65453</v>
      </c>
      <c r="J143" s="366">
        <f t="shared" si="7"/>
        <v>0</v>
      </c>
      <c r="K143" s="366">
        <f>K118</f>
        <v>0</v>
      </c>
      <c r="L143" s="366">
        <f t="shared" si="7"/>
        <v>0</v>
      </c>
      <c r="M143" s="366">
        <f>M118</f>
        <v>78544</v>
      </c>
      <c r="N143" s="366">
        <f t="shared" si="7"/>
        <v>0</v>
      </c>
      <c r="O143" s="366">
        <f t="shared" si="7"/>
        <v>0</v>
      </c>
      <c r="P143" s="366">
        <f t="shared" si="7"/>
        <v>0</v>
      </c>
      <c r="Q143" s="366">
        <f t="shared" si="7"/>
        <v>0</v>
      </c>
      <c r="R143" s="366">
        <f t="shared" si="7"/>
        <v>0</v>
      </c>
      <c r="S143" s="366">
        <f t="shared" si="7"/>
        <v>0</v>
      </c>
      <c r="T143" s="36"/>
      <c r="U143" s="36"/>
    </row>
    <row r="144" spans="1:21" ht="15.75" thickBot="1">
      <c r="A144" s="3"/>
      <c r="B144" s="625"/>
      <c r="C144" s="626"/>
      <c r="D144" s="627"/>
      <c r="E144" s="636"/>
      <c r="F144" s="637"/>
      <c r="G144" s="456" t="s">
        <v>282</v>
      </c>
      <c r="H144" s="366">
        <f t="shared" ref="H144:K148" si="8">H119</f>
        <v>0</v>
      </c>
      <c r="I144" s="366">
        <f t="shared" si="8"/>
        <v>16821</v>
      </c>
      <c r="J144" s="366">
        <f t="shared" si="8"/>
        <v>0</v>
      </c>
      <c r="K144" s="366">
        <f t="shared" si="8"/>
        <v>9261</v>
      </c>
      <c r="L144" s="366">
        <f t="shared" ref="L144:S144" si="9">L119</f>
        <v>0</v>
      </c>
      <c r="M144" s="366">
        <f t="shared" si="9"/>
        <v>0</v>
      </c>
      <c r="N144" s="366">
        <f t="shared" si="9"/>
        <v>0</v>
      </c>
      <c r="O144" s="366">
        <f t="shared" si="9"/>
        <v>0</v>
      </c>
      <c r="P144" s="366">
        <f t="shared" si="9"/>
        <v>0</v>
      </c>
      <c r="Q144" s="366">
        <f t="shared" si="9"/>
        <v>0</v>
      </c>
      <c r="R144" s="366">
        <f t="shared" si="9"/>
        <v>0</v>
      </c>
      <c r="S144" s="366">
        <f t="shared" si="9"/>
        <v>0</v>
      </c>
      <c r="T144" s="36"/>
      <c r="U144" s="36"/>
    </row>
    <row r="145" spans="1:21">
      <c r="A145" s="3"/>
      <c r="B145" s="655" t="str">
        <f>IF(ISBLANK(B120),"",(B120))</f>
        <v>Porcentaje de personas transgénero que se han sometido a pruebas de VIH durante el período de informe y conocen los resultados</v>
      </c>
      <c r="C145" s="656"/>
      <c r="D145" s="657"/>
      <c r="E145" s="634" t="str">
        <f>IF(ISBLANK(E120),"",(E120))</f>
        <v>KP-3b(M)</v>
      </c>
      <c r="F145" s="635" t="str">
        <f>IF(ISBLANK(F120),"",(F120))</f>
        <v/>
      </c>
      <c r="G145" s="482" t="s">
        <v>79</v>
      </c>
      <c r="H145" s="483">
        <f t="shared" si="8"/>
        <v>0</v>
      </c>
      <c r="I145" s="483">
        <f>I120</f>
        <v>6907</v>
      </c>
      <c r="J145" s="483">
        <f t="shared" si="8"/>
        <v>0</v>
      </c>
      <c r="K145" s="483">
        <f>K120</f>
        <v>0</v>
      </c>
      <c r="L145" s="483">
        <f t="shared" ref="L145:S145" si="10">L120</f>
        <v>0</v>
      </c>
      <c r="M145" s="483">
        <f t="shared" si="10"/>
        <v>8979</v>
      </c>
      <c r="N145" s="483">
        <f t="shared" si="10"/>
        <v>0</v>
      </c>
      <c r="O145" s="483">
        <f t="shared" si="10"/>
        <v>0</v>
      </c>
      <c r="P145" s="483">
        <f t="shared" si="10"/>
        <v>0</v>
      </c>
      <c r="Q145" s="483">
        <f t="shared" si="10"/>
        <v>0</v>
      </c>
      <c r="R145" s="483">
        <f t="shared" si="10"/>
        <v>0</v>
      </c>
      <c r="S145" s="483">
        <f t="shared" si="10"/>
        <v>0</v>
      </c>
      <c r="T145" s="36"/>
      <c r="U145" s="36"/>
    </row>
    <row r="146" spans="1:21" ht="15.75" thickBot="1">
      <c r="A146" s="3"/>
      <c r="B146" s="658"/>
      <c r="C146" s="659"/>
      <c r="D146" s="660"/>
      <c r="E146" s="634"/>
      <c r="F146" s="635"/>
      <c r="G146" s="482" t="s">
        <v>282</v>
      </c>
      <c r="H146" s="483">
        <f t="shared" si="8"/>
        <v>0</v>
      </c>
      <c r="I146" s="483">
        <f t="shared" si="8"/>
        <v>1422</v>
      </c>
      <c r="J146" s="483">
        <f t="shared" si="8"/>
        <v>0</v>
      </c>
      <c r="K146" s="483">
        <f t="shared" si="8"/>
        <v>938</v>
      </c>
      <c r="L146" s="483">
        <f t="shared" ref="L146:S146" si="11">L121</f>
        <v>0</v>
      </c>
      <c r="M146" s="483">
        <f t="shared" si="11"/>
        <v>0</v>
      </c>
      <c r="N146" s="483">
        <f t="shared" si="11"/>
        <v>0</v>
      </c>
      <c r="O146" s="483">
        <f t="shared" si="11"/>
        <v>0</v>
      </c>
      <c r="P146" s="483">
        <f t="shared" si="11"/>
        <v>0</v>
      </c>
      <c r="Q146" s="483">
        <f t="shared" si="11"/>
        <v>0</v>
      </c>
      <c r="R146" s="483">
        <f t="shared" si="11"/>
        <v>0</v>
      </c>
      <c r="S146" s="483">
        <f t="shared" si="11"/>
        <v>0</v>
      </c>
      <c r="T146" s="36"/>
      <c r="U146" s="36"/>
    </row>
    <row r="147" spans="1:21">
      <c r="A147" s="3"/>
      <c r="B147" s="622" t="str">
        <f>IF(ISBLANK(B122),"",(B122))</f>
        <v>Porcentaje de personas que viven con el VIH  que actualmente reciben tratamiento antirretroviral</v>
      </c>
      <c r="C147" s="623"/>
      <c r="D147" s="624"/>
      <c r="E147" s="636" t="str">
        <f>IF(ISBLANK(E122),"",(E122))</f>
        <v>TCS-1(M)</v>
      </c>
      <c r="F147" s="637" t="str">
        <f>IF(ISBLANK(F122),"",(F122))</f>
        <v/>
      </c>
      <c r="G147" s="456" t="s">
        <v>79</v>
      </c>
      <c r="H147" s="366">
        <f t="shared" si="8"/>
        <v>0</v>
      </c>
      <c r="I147" s="366">
        <f t="shared" si="8"/>
        <v>57165</v>
      </c>
      <c r="J147" s="366">
        <f t="shared" si="8"/>
        <v>0</v>
      </c>
      <c r="K147" s="366">
        <f t="shared" si="8"/>
        <v>0</v>
      </c>
      <c r="L147" s="366">
        <f t="shared" ref="L147:S147" si="12">L122</f>
        <v>0</v>
      </c>
      <c r="M147" s="366">
        <f t="shared" si="12"/>
        <v>59452</v>
      </c>
      <c r="N147" s="366">
        <f t="shared" si="12"/>
        <v>0</v>
      </c>
      <c r="O147" s="366">
        <f t="shared" si="12"/>
        <v>0</v>
      </c>
      <c r="P147" s="366">
        <f t="shared" si="12"/>
        <v>0</v>
      </c>
      <c r="Q147" s="366">
        <f t="shared" si="12"/>
        <v>0</v>
      </c>
      <c r="R147" s="366">
        <f t="shared" si="12"/>
        <v>0</v>
      </c>
      <c r="S147" s="366">
        <f t="shared" si="12"/>
        <v>0</v>
      </c>
      <c r="T147" s="36"/>
      <c r="U147" s="36"/>
    </row>
    <row r="148" spans="1:21" ht="15.75" thickBot="1">
      <c r="A148" s="3"/>
      <c r="B148" s="625"/>
      <c r="C148" s="626"/>
      <c r="D148" s="627"/>
      <c r="E148" s="636"/>
      <c r="F148" s="637"/>
      <c r="G148" s="457" t="s">
        <v>282</v>
      </c>
      <c r="H148" s="367">
        <f t="shared" si="8"/>
        <v>0</v>
      </c>
      <c r="I148" s="367">
        <f t="shared" si="8"/>
        <v>66292</v>
      </c>
      <c r="J148" s="367">
        <f t="shared" si="8"/>
        <v>0</v>
      </c>
      <c r="K148" s="367">
        <f t="shared" si="8"/>
        <v>68597</v>
      </c>
      <c r="L148" s="366">
        <f t="shared" ref="L148:S148" si="13">L123</f>
        <v>0</v>
      </c>
      <c r="M148" s="366">
        <f t="shared" si="13"/>
        <v>0</v>
      </c>
      <c r="N148" s="366">
        <f t="shared" si="13"/>
        <v>0</v>
      </c>
      <c r="O148" s="366">
        <f t="shared" si="13"/>
        <v>0</v>
      </c>
      <c r="P148" s="366">
        <f t="shared" si="13"/>
        <v>0</v>
      </c>
      <c r="Q148" s="366">
        <f t="shared" si="13"/>
        <v>0</v>
      </c>
      <c r="R148" s="366">
        <f t="shared" si="13"/>
        <v>0</v>
      </c>
      <c r="S148" s="366">
        <f t="shared" si="13"/>
        <v>0</v>
      </c>
      <c r="T148" s="36"/>
      <c r="U148" s="36"/>
    </row>
    <row r="149" spans="1:21">
      <c r="A149" s="3"/>
      <c r="B149" s="3"/>
      <c r="C149" s="3"/>
      <c r="D149" s="3"/>
      <c r="E149" s="3"/>
      <c r="F149" s="3"/>
      <c r="G149" s="3"/>
      <c r="H149" s="3"/>
      <c r="I149" s="3"/>
      <c r="J149" s="3"/>
      <c r="K149" s="3"/>
      <c r="L149" s="3"/>
      <c r="M149" s="3"/>
      <c r="N149"/>
      <c r="O149"/>
      <c r="P149" s="36"/>
      <c r="Q149" s="36"/>
    </row>
    <row r="150" spans="1:21">
      <c r="N150"/>
      <c r="O150"/>
      <c r="P150" s="36"/>
      <c r="Q150" s="36"/>
    </row>
    <row r="151" spans="1:21">
      <c r="N151"/>
      <c r="O151"/>
      <c r="P151" s="36"/>
      <c r="Q151" s="36"/>
    </row>
    <row r="152" spans="1:21">
      <c r="N152"/>
      <c r="O152"/>
      <c r="P152" s="36"/>
      <c r="Q152" s="36"/>
    </row>
  </sheetData>
  <sheetProtection password="CFC9" sheet="1"/>
  <mergeCells count="73">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 ref="B2:J2"/>
    <mergeCell ref="C4:D4"/>
    <mergeCell ref="E4:F4"/>
    <mergeCell ref="G4:J4"/>
    <mergeCell ref="H16:I16"/>
    <mergeCell ref="C6:D6"/>
    <mergeCell ref="E6:F6"/>
    <mergeCell ref="I6:J6"/>
    <mergeCell ref="G12:J12"/>
    <mergeCell ref="G10:J10"/>
    <mergeCell ref="B18:C18"/>
    <mergeCell ref="E10:F10"/>
    <mergeCell ref="I8:J8"/>
    <mergeCell ref="C10:D10"/>
    <mergeCell ref="E12:F12"/>
    <mergeCell ref="C8:D8"/>
    <mergeCell ref="B14:J14"/>
    <mergeCell ref="B145:D146"/>
    <mergeCell ref="B128:D129"/>
    <mergeCell ref="B130:D131"/>
    <mergeCell ref="B132:D133"/>
    <mergeCell ref="B134:D135"/>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O31:O34"/>
    <mergeCell ref="E118:E119"/>
    <mergeCell ref="F118:F119"/>
    <mergeCell ref="F120:F121"/>
    <mergeCell ref="E120:E121"/>
    <mergeCell ref="F47:I47"/>
  </mergeCells>
  <phoneticPr fontId="30" type="noConversion"/>
  <conditionalFormatting sqref="B34 C33:N33 B32:H32 C31">
    <cfRule type="expression" dxfId="40" priority="1" stopIfTrue="1">
      <formula>+AND(B30&gt;=#REF!,B30&lt;=#REF!)</formula>
    </cfRule>
  </conditionalFormatting>
  <conditionalFormatting sqref="C34:N34">
    <cfRule type="expression" dxfId="39" priority="2" stopIfTrue="1">
      <formula>+AND(C32&gt;=#REF!,C32&lt;=#REF!)</formula>
    </cfRule>
  </conditionalFormatting>
  <conditionalFormatting sqref="C30:N30 C94:N94">
    <cfRule type="cellIs" dxfId="38" priority="5" stopIfTrue="1" operator="equal">
      <formula>$C$16</formula>
    </cfRule>
  </conditionalFormatting>
  <conditionalFormatting sqref="C12:D12">
    <cfRule type="cellIs" dxfId="37" priority="7" stopIfTrue="1" operator="equal">
      <formula>"C"</formula>
    </cfRule>
    <cfRule type="cellIs" dxfId="36" priority="8" stopIfTrue="1" operator="equal">
      <formula>"B2"</formula>
    </cfRule>
    <cfRule type="cellIs" dxfId="35" priority="9" stopIfTrue="1" operator="equal">
      <formula>"B1"</formula>
    </cfRule>
  </conditionalFormatting>
  <conditionalFormatting sqref="H116:S117 H142:S142">
    <cfRule type="cellIs" dxfId="34" priority="16" stopIfTrue="1" operator="equal">
      <formula>$C$16</formula>
    </cfRule>
  </conditionalFormatting>
  <conditionalFormatting sqref="F47:I47">
    <cfRule type="expression" dxfId="33" priority="17" stopIfTrue="1">
      <formula>LEFT($F$47,2)="OK"</formula>
    </cfRule>
  </conditionalFormatting>
  <dataValidations count="9">
    <dataValidation type="list" allowBlank="1" showInputMessage="1" showErrorMessage="1" sqref="B108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12:D12" xr:uid="{00000000-0002-0000-0200-000003000000}">
      <formula1>Rating</formula1>
    </dataValidation>
    <dataValidation type="list" allowBlank="1" showInputMessage="1" showErrorMessage="1" sqref="I8:J8" xr:uid="{00000000-0002-0000-0200-000004000000}">
      <formula1>Phase</formula1>
    </dataValidation>
    <dataValidation type="list" allowBlank="1" showInputMessage="1" showErrorMessage="1" sqref="G8" xr:uid="{00000000-0002-0000-0200-000005000000}">
      <formula1>Round</formula1>
    </dataValidation>
    <dataValidation type="list" allowBlank="1" showInputMessage="1" showErrorMessage="1" sqref="D26" xr:uid="{00000000-0002-0000-0200-000006000000}">
      <formula1>Currency</formula1>
    </dataValidation>
    <dataValidation type="list" allowBlank="1" showInputMessage="1" showErrorMessage="1" sqref="C108:C111" xr:uid="{00000000-0002-0000-0200-000007000000}">
      <formula1>Medicaments</formula1>
    </dataValidation>
    <dataValidation type="list" allowBlank="1" showInputMessage="1" showErrorMessage="1" sqref="C4:D4" xr:uid="{00000000-0002-0000-0200-000008000000}">
      <formula1>Ciudades</formula1>
    </dataValidation>
  </dataValidations>
  <pageMargins left="0.70866141732283472" right="0.70866141732283472" top="0.74803149606299213" bottom="0.74803149606299213" header="0.31496062992125984" footer="0.31496062992125984"/>
  <pageSetup paperSize="9" scale="32" fitToHeight="8" orientation="landscape" r:id="rId1"/>
  <headerFooter>
    <oddFooter>&amp;L&amp;F&amp;C&amp;A&amp;R&amp;D</oddFooter>
  </headerFooter>
  <rowBreaks count="1" manualBreakCount="1">
    <brk id="48" max="16383" man="1"/>
  </rowBreaks>
  <ignoredErrors>
    <ignoredError sqref="H142:S142 E143"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pageSetUpPr fitToPage="1"/>
  </sheetPr>
  <dimension ref="A1:X18"/>
  <sheetViews>
    <sheetView showGridLines="0" topLeftCell="A15" zoomScale="110" zoomScaleNormal="110" zoomScaleSheetLayoutView="100" workbookViewId="0">
      <selection activeCell="G12" sqref="G12:J12"/>
    </sheetView>
  </sheetViews>
  <sheetFormatPr baseColWidth="10" defaultRowHeight="15"/>
  <cols>
    <col min="1" max="1" width="21.140625" style="3" customWidth="1"/>
    <col min="2" max="2" width="12.5703125" style="3" customWidth="1"/>
    <col min="3" max="3" width="20.5703125" style="3" customWidth="1"/>
    <col min="4" max="4" width="15.28515625" style="3" customWidth="1"/>
    <col min="5" max="5" width="11.7109375" style="3" customWidth="1"/>
    <col min="6" max="6" width="18.7109375" style="3" customWidth="1"/>
    <col min="7" max="7" width="11.7109375" style="3" customWidth="1"/>
    <col min="8" max="8" width="18.4257812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49"/>
      <c r="H1" s="2"/>
      <c r="I1" s="2"/>
      <c r="J1" s="2"/>
    </row>
    <row r="2" spans="1:24" ht="25.5" customHeight="1"/>
    <row r="3" spans="1:24" ht="36">
      <c r="B3" s="708" t="str">
        <f>+"Tablero de mando: "&amp;" "&amp;+'Introducción de datos'!C4&amp;" - "&amp;+'Introducción de datos'!G6</f>
        <v>Tablero de mando:  Perú - VIH / SIDA</v>
      </c>
      <c r="C3" s="708"/>
      <c r="D3" s="708"/>
      <c r="E3" s="708"/>
      <c r="F3" s="708"/>
      <c r="G3" s="708"/>
      <c r="H3" s="708"/>
      <c r="I3" s="708"/>
      <c r="J3" s="708"/>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42" t="s">
        <v>18</v>
      </c>
      <c r="B6" s="709" t="str">
        <f>+'Introducción de datos'!C4</f>
        <v>Perú</v>
      </c>
      <c r="C6" s="709"/>
      <c r="D6" s="712" t="s">
        <v>208</v>
      </c>
      <c r="E6" s="712"/>
      <c r="F6" s="713" t="str">
        <f>+'Introducción de datos'!G4</f>
        <v>Expansión de la Respuesta Nacional al VIH en poblaciones clave y vulnerables de ámbitos urbanos y amazónicos del Perú</v>
      </c>
      <c r="G6" s="713"/>
      <c r="H6" s="713"/>
      <c r="I6" s="713"/>
      <c r="J6" s="713"/>
      <c r="K6" s="49"/>
      <c r="L6" s="79"/>
      <c r="M6" s="49"/>
      <c r="N6" s="49"/>
      <c r="O6" s="49"/>
      <c r="P6" s="50"/>
      <c r="Q6" s="17"/>
      <c r="R6" s="17"/>
      <c r="S6" s="17"/>
      <c r="T6" s="17"/>
      <c r="U6" s="17"/>
    </row>
    <row r="7" spans="1:24" ht="8.25" customHeight="1">
      <c r="B7" s="6"/>
      <c r="C7" s="7"/>
      <c r="D7" s="7"/>
      <c r="E7" s="8"/>
      <c r="F7" s="8"/>
      <c r="G7" s="9"/>
      <c r="H7" s="9"/>
      <c r="K7" s="49"/>
      <c r="L7" s="49"/>
      <c r="M7" s="49"/>
      <c r="N7" s="49"/>
      <c r="O7" s="49"/>
      <c r="P7" s="50"/>
      <c r="Q7" s="17"/>
      <c r="R7" s="17"/>
      <c r="S7" s="17"/>
      <c r="T7" s="17"/>
      <c r="U7" s="17"/>
    </row>
    <row r="8" spans="1:24" ht="3.75" customHeight="1">
      <c r="C8" s="10"/>
      <c r="D8" s="10"/>
      <c r="E8" s="10"/>
      <c r="F8" s="10"/>
      <c r="G8" s="10"/>
      <c r="H8" s="10"/>
      <c r="I8" s="10"/>
      <c r="J8" s="10"/>
      <c r="K8" s="49"/>
      <c r="L8" s="49"/>
      <c r="M8" s="49"/>
      <c r="N8" s="49"/>
      <c r="O8" s="51"/>
      <c r="P8" s="50"/>
      <c r="Q8" s="51"/>
      <c r="R8" s="52"/>
      <c r="S8" s="17"/>
      <c r="T8" s="17"/>
      <c r="U8" s="17"/>
    </row>
    <row r="9" spans="1:24" ht="25.5" customHeight="1">
      <c r="A9" s="329" t="s">
        <v>19</v>
      </c>
      <c r="B9" s="295" t="str">
        <f>+'Introducción de datos'!G6</f>
        <v>VIH / SIDA</v>
      </c>
      <c r="C9" s="202" t="s">
        <v>210</v>
      </c>
      <c r="D9" s="296" t="str">
        <f>+'Introducción de datos'!C6</f>
        <v>1830 PER-H-CARE</v>
      </c>
      <c r="E9" s="711" t="s">
        <v>81</v>
      </c>
      <c r="F9" s="711"/>
      <c r="G9" s="297" t="str">
        <f>+'Introducción de datos'!C10</f>
        <v>1 julio de 2019</v>
      </c>
      <c r="H9" s="329" t="s">
        <v>82</v>
      </c>
      <c r="I9" s="710">
        <f>+'Introducción de datos'!I6</f>
        <v>6264586</v>
      </c>
      <c r="J9" s="710"/>
      <c r="K9" s="49"/>
      <c r="L9" s="49"/>
      <c r="M9" s="49"/>
      <c r="N9" s="49"/>
      <c r="O9" s="51"/>
      <c r="P9" s="50"/>
      <c r="Q9" s="51"/>
      <c r="R9" s="52"/>
      <c r="S9" s="17"/>
      <c r="T9" s="11"/>
      <c r="U9" s="11"/>
      <c r="V9" s="10"/>
      <c r="W9" s="10"/>
      <c r="X9" s="10"/>
    </row>
    <row r="10" spans="1:24" ht="25.5" customHeight="1">
      <c r="A10" s="329" t="s">
        <v>21</v>
      </c>
      <c r="B10" s="298" t="str">
        <f>IF(ISBLANK('Introducción de datos'!G8),"",'Introducción de datos'!G8)</f>
        <v>Seleccionar</v>
      </c>
      <c r="C10" s="202" t="s">
        <v>22</v>
      </c>
      <c r="D10" s="299" t="str">
        <f>+'Introducción de datos'!I8</f>
        <v>Seleccionar</v>
      </c>
      <c r="E10" s="704" t="s">
        <v>20</v>
      </c>
      <c r="F10" s="704"/>
      <c r="G10" s="703" t="str">
        <f>+'Introducción de datos'!C8</f>
        <v>CARE PERU</v>
      </c>
      <c r="H10" s="703"/>
      <c r="I10" s="703"/>
      <c r="J10" s="703"/>
      <c r="K10" s="53"/>
      <c r="L10" s="53"/>
      <c r="M10" s="49"/>
      <c r="N10" s="53"/>
      <c r="O10" s="51"/>
      <c r="P10" s="50"/>
      <c r="Q10" s="11"/>
      <c r="R10" s="52"/>
      <c r="S10" s="17"/>
      <c r="T10" s="11"/>
      <c r="U10" s="11"/>
    </row>
    <row r="11" spans="1:24" ht="25.5" customHeight="1">
      <c r="A11" s="329" t="s">
        <v>27</v>
      </c>
      <c r="B11" s="300" t="str">
        <f>+'Introducción de datos'!C16</f>
        <v>P4</v>
      </c>
      <c r="C11" s="285" t="s">
        <v>83</v>
      </c>
      <c r="D11" s="301">
        <f>+'Introducción de datos'!E16</f>
        <v>43831</v>
      </c>
      <c r="E11" s="711" t="s">
        <v>209</v>
      </c>
      <c r="F11" s="711"/>
      <c r="G11" s="301">
        <f>+'Introducción de datos'!G16</f>
        <v>44012</v>
      </c>
      <c r="H11" s="329" t="s">
        <v>25</v>
      </c>
      <c r="I11" s="705" t="str">
        <f>+'Introducción de datos'!C12</f>
        <v>Seleccionar</v>
      </c>
      <c r="J11" s="705"/>
      <c r="K11" s="248"/>
      <c r="L11" s="53"/>
      <c r="M11" s="49"/>
      <c r="N11" s="53"/>
      <c r="O11" s="53"/>
      <c r="P11" s="50"/>
      <c r="Q11" s="11"/>
      <c r="R11" s="52"/>
      <c r="S11" s="17"/>
      <c r="T11" s="12"/>
      <c r="U11" s="11"/>
    </row>
    <row r="12" spans="1:24" ht="25.5" customHeight="1">
      <c r="A12" s="329" t="s">
        <v>24</v>
      </c>
      <c r="B12" s="703" t="str">
        <f>+'Introducción de datos'!G10</f>
        <v>PwC (PricewaterhouseCoopers)</v>
      </c>
      <c r="C12" s="703"/>
      <c r="D12" s="703"/>
      <c r="E12" s="704" t="s">
        <v>278</v>
      </c>
      <c r="F12" s="704"/>
      <c r="G12" s="703" t="str">
        <f>+'Introducción de datos'!G12</f>
        <v>Alwin De Greeff</v>
      </c>
      <c r="H12" s="703"/>
      <c r="I12" s="703"/>
      <c r="J12" s="703"/>
      <c r="K12" s="53"/>
      <c r="L12" s="53"/>
      <c r="M12" s="49"/>
      <c r="N12" s="53"/>
      <c r="O12" s="17"/>
      <c r="P12" s="50"/>
      <c r="Q12" s="11"/>
      <c r="R12" s="52"/>
      <c r="S12" s="17"/>
      <c r="T12" s="11"/>
      <c r="U12" s="54"/>
      <c r="V12" s="11"/>
      <c r="W12" s="12"/>
      <c r="X12" s="11"/>
    </row>
    <row r="13" spans="1:24" ht="25.5" customHeight="1">
      <c r="A13" s="329" t="s">
        <v>30</v>
      </c>
      <c r="B13" s="703" t="str">
        <f>+'Introducción de datos'!D18</f>
        <v>CARE PERU</v>
      </c>
      <c r="C13" s="703"/>
      <c r="D13" s="703"/>
      <c r="E13" s="704" t="s">
        <v>84</v>
      </c>
      <c r="F13" s="704"/>
      <c r="G13" s="706">
        <f>+'Introducción de datos'!J16</f>
        <v>44047</v>
      </c>
      <c r="H13" s="707"/>
      <c r="I13" s="707"/>
      <c r="J13" s="707"/>
      <c r="K13" s="17"/>
      <c r="L13" s="18"/>
      <c r="M13" s="18"/>
      <c r="N13" s="18"/>
      <c r="O13" s="17"/>
      <c r="P13" s="18"/>
      <c r="Q13" s="18"/>
      <c r="R13" s="52"/>
      <c r="S13" s="17"/>
      <c r="T13" s="18"/>
      <c r="U13" s="55"/>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11"/>
      <c r="D16" s="16"/>
      <c r="E16" s="330"/>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2">
    <dataValidation type="date" operator="greaterThan" allowBlank="1" showInputMessage="1" showErrorMessage="1" error="the date can´t be earlier than the start date" sqref="G11" xr:uid="{00000000-0002-0000-0300-000000000000}">
      <formula1>D11</formula1>
    </dataValidation>
    <dataValidation type="list" allowBlank="1" showInputMessage="1" showErrorMessage="1" sqref="G7" xr:uid="{00000000-0002-0000-0300-000001000000}">
      <formula1>$K$8:$K$9</formula1>
    </dataValidation>
  </dataValidations>
  <pageMargins left="0.70866141732283472" right="0.70866141732283472" top="0.74803149606299213" bottom="0.74803149606299213" header="0.31496062992125984" footer="0.31496062992125984"/>
  <pageSetup paperSize="9" scale="79" orientation="landscape" r:id="rId1"/>
  <headerFooter>
    <oddFooter>&amp;L&amp;F&amp;C&amp;A&amp;R&amp;D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1"/>
  </sheetPr>
  <dimension ref="A1:O34"/>
  <sheetViews>
    <sheetView showGridLines="0" topLeftCell="G10" zoomScale="120" zoomScaleNormal="120" workbookViewId="0">
      <selection activeCell="N34" sqref="N34"/>
    </sheetView>
  </sheetViews>
  <sheetFormatPr baseColWidth="10" defaultColWidth="9.140625" defaultRowHeight="15"/>
  <cols>
    <col min="1" max="1" width="3.5703125" customWidth="1"/>
    <col min="2" max="2" width="11.28515625" customWidth="1"/>
    <col min="3" max="3" width="5.140625" customWidth="1"/>
    <col min="4" max="4" width="12.42578125" customWidth="1"/>
    <col min="5" max="5" width="11.42578125" customWidth="1"/>
    <col min="6" max="6" width="28" customWidth="1"/>
    <col min="7" max="7" width="3.85546875" customWidth="1"/>
    <col min="8" max="8" width="10.42578125" customWidth="1"/>
    <col min="9" max="9" width="14.7109375" customWidth="1"/>
    <col min="10" max="10" width="12" customWidth="1"/>
    <col min="11" max="11" width="11.7109375" customWidth="1"/>
    <col min="12" max="12" width="3.7109375" customWidth="1"/>
  </cols>
  <sheetData>
    <row r="1" spans="2:15" ht="30.75" customHeight="1">
      <c r="B1" s="3"/>
      <c r="C1" s="3"/>
      <c r="D1" s="3"/>
      <c r="E1" s="3"/>
      <c r="F1" s="3"/>
      <c r="G1" s="3"/>
      <c r="H1" s="3"/>
      <c r="I1" s="3"/>
      <c r="J1" s="3"/>
      <c r="K1" s="3"/>
    </row>
    <row r="2" spans="2:15" ht="27.75" customHeight="1">
      <c r="B2" s="661" t="str">
        <f>+"Cuadro de mando:  "&amp;"  "&amp;+'Introducción de datos'!C4&amp;" - "&amp;'Introducción de datos'!G6</f>
        <v>Cuadro de mando:    Perú - VIH / SIDA</v>
      </c>
      <c r="C2" s="661"/>
      <c r="D2" s="661"/>
      <c r="E2" s="661"/>
      <c r="F2" s="661"/>
      <c r="G2" s="661"/>
      <c r="H2" s="661"/>
      <c r="I2" s="661"/>
      <c r="J2" s="661"/>
      <c r="K2" s="661"/>
      <c r="L2" s="1"/>
      <c r="M2" s="1"/>
      <c r="N2" s="1"/>
      <c r="O2" s="1"/>
    </row>
    <row r="3" spans="2:15">
      <c r="B3" s="114" t="str">
        <f>+'Introducción de datos'!G8</f>
        <v>Seleccionar</v>
      </c>
      <c r="C3" s="722" t="str">
        <f>+'Introducción de datos'!I8</f>
        <v>Seleccionar</v>
      </c>
      <c r="D3" s="722"/>
      <c r="E3" s="721"/>
      <c r="F3" s="721"/>
      <c r="G3" s="721"/>
      <c r="H3" s="721"/>
      <c r="I3" s="719" t="str">
        <f>+'Introducción de datos'!B16</f>
        <v>Periodo:</v>
      </c>
      <c r="J3" s="719"/>
      <c r="K3" s="178" t="str">
        <f>+'Introducción de datos'!C16</f>
        <v>P4</v>
      </c>
      <c r="L3" s="80"/>
    </row>
    <row r="4" spans="2:15">
      <c r="B4" s="114" t="str">
        <f>+'Introducción de datos'!B12</f>
        <v>Ultima calificación:</v>
      </c>
      <c r="C4" s="723" t="str">
        <f>+'Introducción de datos'!C12</f>
        <v>Seleccionar</v>
      </c>
      <c r="D4" s="723"/>
      <c r="E4" s="721" t="str">
        <f>+'Introducción de datos'!C8</f>
        <v>CARE PERU</v>
      </c>
      <c r="F4" s="721"/>
      <c r="G4" s="721"/>
      <c r="H4" s="721"/>
      <c r="I4" s="719" t="str">
        <f>+'Introducción de datos'!D16</f>
        <v>Desde:</v>
      </c>
      <c r="J4" s="720"/>
      <c r="K4" s="180">
        <f>+'Introducción de datos'!E16</f>
        <v>43831</v>
      </c>
    </row>
    <row r="5" spans="2:15" ht="18.75" customHeight="1">
      <c r="B5" s="114"/>
      <c r="C5" s="114"/>
      <c r="D5" s="718" t="str">
        <f>+'Introducción de datos'!G4</f>
        <v>Expansión de la Respuesta Nacional al VIH en poblaciones clave y vulnerables de ámbitos urbanos y amazónicos del Perú</v>
      </c>
      <c r="E5" s="718"/>
      <c r="F5" s="718"/>
      <c r="G5" s="718"/>
      <c r="H5" s="718"/>
      <c r="I5" s="718"/>
      <c r="J5" s="114" t="str">
        <f>+'Introducción de datos'!F16</f>
        <v>Hasta:</v>
      </c>
      <c r="K5" s="180">
        <f>+'Introducción de datos'!G16</f>
        <v>44012</v>
      </c>
    </row>
    <row r="6" spans="2:15" ht="18.75">
      <c r="B6" s="118"/>
      <c r="C6" s="114"/>
      <c r="D6" s="115"/>
      <c r="E6" s="724" t="s">
        <v>85</v>
      </c>
      <c r="F6" s="725"/>
      <c r="G6" s="725"/>
      <c r="H6" s="725"/>
      <c r="I6" s="3"/>
      <c r="J6" s="3"/>
      <c r="K6" s="3"/>
    </row>
    <row r="7" spans="2:15" ht="10.5" customHeight="1">
      <c r="B7" s="119"/>
      <c r="C7" s="120"/>
      <c r="D7" s="121"/>
      <c r="E7" s="122"/>
      <c r="F7" s="122"/>
      <c r="G7" s="123"/>
      <c r="H7" s="123"/>
      <c r="I7" s="117"/>
      <c r="J7" s="117"/>
      <c r="K7" s="116"/>
    </row>
    <row r="8" spans="2:15">
      <c r="B8" s="183" t="str">
        <f>+'Introducción de datos'!B27&amp; " - en ("&amp;'Introducción de datos'!D26&amp;")         "&amp;+I3&amp;" "&amp;+K3</f>
        <v>F1: Presupuesto y desembolsos del Fondo Mundial - en ($)         Periodo: P4</v>
      </c>
      <c r="C8" s="124"/>
      <c r="D8" s="2"/>
      <c r="E8" s="2"/>
      <c r="F8" s="2"/>
      <c r="H8" s="183" t="str">
        <f>+'Introducción de datos'!B49&amp; " - en ("&amp;'Introducción de datos'!D26&amp;")         "&amp;+I3&amp;" "&amp;+K3</f>
        <v>F3: Desembolsos y gastos - en ($)         Periodo: P4</v>
      </c>
      <c r="I8" s="3"/>
      <c r="J8" s="3"/>
      <c r="K8" s="3"/>
    </row>
    <row r="9" spans="2:15">
      <c r="B9" s="417" t="s">
        <v>86</v>
      </c>
      <c r="C9" s="731"/>
      <c r="D9" s="732"/>
      <c r="E9" s="732"/>
      <c r="F9" s="733"/>
      <c r="H9" s="418" t="s">
        <v>86</v>
      </c>
      <c r="I9" s="734"/>
      <c r="J9" s="732"/>
      <c r="K9" s="733"/>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c r="M15" s="490" t="s">
        <v>302</v>
      </c>
    </row>
    <row r="16" spans="2:15">
      <c r="B16" s="2"/>
      <c r="C16" s="2"/>
      <c r="D16" s="2"/>
      <c r="E16" s="2"/>
      <c r="F16" s="2"/>
      <c r="G16" s="3"/>
      <c r="H16" s="3"/>
      <c r="I16" s="3"/>
      <c r="J16" s="3"/>
      <c r="K16" s="3"/>
      <c r="M16" s="490" t="s">
        <v>303</v>
      </c>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ht="24" customHeight="1">
      <c r="A21" s="19"/>
      <c r="B21" s="19"/>
      <c r="C21" s="19"/>
      <c r="D21" s="19"/>
      <c r="E21" s="19"/>
      <c r="F21" s="19"/>
      <c r="G21" s="19"/>
      <c r="H21" s="19"/>
      <c r="I21" s="19"/>
      <c r="J21" s="19"/>
      <c r="K21" s="19"/>
    </row>
    <row r="22" spans="1:11" ht="23.25" customHeight="1">
      <c r="B22" s="449" t="str">
        <f>+'Introducción de datos'!B36&amp; " - en ("&amp;'Introducción de datos'!D26&amp;")  "&amp;+I3&amp;" "&amp;+K3</f>
        <v>F2: Presupuesto y gastos reales por objetivo de la subvención - en ($)  Periodo: P4</v>
      </c>
      <c r="C22" s="2"/>
      <c r="D22" s="2"/>
      <c r="E22" s="2"/>
      <c r="F22" s="2"/>
      <c r="H22" s="449" t="str">
        <f>+'Introducción de datos'!B58&amp;"   "&amp;+I3&amp;" "&amp;+K3</f>
        <v>F4: Último ciclo de información y desembolso del RP   Periodo: P4</v>
      </c>
      <c r="J22" s="3"/>
      <c r="K22" s="3"/>
    </row>
    <row r="23" spans="1:11">
      <c r="B23" s="418" t="s">
        <v>87</v>
      </c>
      <c r="C23" s="734"/>
      <c r="D23" s="732"/>
      <c r="E23" s="732"/>
      <c r="F23" s="733"/>
      <c r="G23" s="326"/>
      <c r="H23" s="418" t="s">
        <v>86</v>
      </c>
      <c r="I23" s="734"/>
      <c r="J23" s="735"/>
      <c r="K23" s="736"/>
    </row>
    <row r="24" spans="1:11" ht="15.75" thickBot="1">
      <c r="B24" s="192"/>
      <c r="C24" s="192"/>
      <c r="D24" s="192"/>
      <c r="E24" s="192"/>
      <c r="F24" s="192"/>
      <c r="G24" s="192"/>
      <c r="H24" s="193"/>
      <c r="I24" s="193"/>
      <c r="J24" s="192"/>
      <c r="K24" s="192"/>
    </row>
    <row r="25" spans="1:11" ht="29.25" customHeight="1" thickBot="1">
      <c r="B25" s="3"/>
      <c r="C25" s="3"/>
      <c r="D25" s="3"/>
      <c r="E25" s="3"/>
      <c r="F25" s="3"/>
      <c r="G25" s="283"/>
      <c r="H25" s="726" t="s">
        <v>304</v>
      </c>
      <c r="I25" s="727"/>
      <c r="J25" s="727"/>
      <c r="K25" s="728"/>
    </row>
    <row r="26" spans="1:11" ht="24.75">
      <c r="B26" s="3"/>
      <c r="C26" s="3"/>
      <c r="D26" s="3"/>
      <c r="E26" s="3"/>
      <c r="F26" s="3"/>
      <c r="G26" s="262"/>
      <c r="H26" s="729"/>
      <c r="I26" s="730"/>
      <c r="J26" s="419" t="s">
        <v>45</v>
      </c>
      <c r="K26" s="420" t="s">
        <v>46</v>
      </c>
    </row>
    <row r="27" spans="1:11" ht="29.25" customHeight="1">
      <c r="B27" s="3"/>
      <c r="C27" s="3"/>
      <c r="D27" s="3"/>
      <c r="E27" s="3"/>
      <c r="F27" s="3"/>
      <c r="G27" s="284"/>
      <c r="H27" s="714" t="str">
        <f>'Introducción de datos'!B62</f>
        <v>Días tardados en presentar el informe de progreso actualizado y solicitud de desembolso al ALF</v>
      </c>
      <c r="I27" s="715"/>
      <c r="J27" s="273">
        <f>+'Introducción de datos'!C62</f>
        <v>0</v>
      </c>
      <c r="K27" s="272">
        <f>+'Introducción de datos'!D62</f>
        <v>0</v>
      </c>
    </row>
    <row r="28" spans="1:11" ht="21" customHeight="1">
      <c r="B28" s="3"/>
      <c r="C28" s="3"/>
      <c r="D28" s="3"/>
      <c r="E28" s="3"/>
      <c r="F28" s="3"/>
      <c r="G28" s="284"/>
      <c r="H28" s="714" t="str">
        <f>'Introducción de datos'!B63</f>
        <v>Días que el desembolso ha tardado en llegar al RP</v>
      </c>
      <c r="I28" s="715"/>
      <c r="J28" s="273">
        <f>+'Introducción de datos'!C63</f>
        <v>1</v>
      </c>
      <c r="K28" s="272">
        <f>+'Introducción de datos'!D63</f>
        <v>1</v>
      </c>
    </row>
    <row r="29" spans="1:11" ht="21" customHeight="1" thickBot="1">
      <c r="B29" s="3"/>
      <c r="C29" s="3"/>
      <c r="D29" s="3"/>
      <c r="E29" s="3"/>
      <c r="F29" s="3"/>
      <c r="G29" s="284"/>
      <c r="H29" s="716" t="str">
        <f>'Introducción de datos'!B64</f>
        <v xml:space="preserve">Días que el desembolso ha tardado en llegar a los subreceptores </v>
      </c>
      <c r="I29" s="717"/>
      <c r="J29" s="274" t="str">
        <f>+'Introducción de datos'!C64</f>
        <v>-</v>
      </c>
      <c r="K29" s="275" t="str">
        <f>+'Introducción de datos'!D64</f>
        <v>-</v>
      </c>
    </row>
    <row r="30" spans="1:11">
      <c r="B30" s="3"/>
      <c r="C30" s="3"/>
      <c r="D30" s="3"/>
      <c r="E30" s="3"/>
      <c r="F30" s="3"/>
      <c r="G30" s="3"/>
      <c r="H30" s="3"/>
      <c r="I30" s="3"/>
      <c r="J30" s="3"/>
      <c r="K30" s="3"/>
    </row>
    <row r="31" spans="1:11">
      <c r="B31" s="3"/>
      <c r="C31" s="15"/>
      <c r="D31" s="212"/>
      <c r="E31" s="3"/>
      <c r="F31" s="3"/>
      <c r="G31" s="3"/>
      <c r="H31" s="3"/>
      <c r="I31" s="3"/>
      <c r="J31" s="3"/>
      <c r="K31" s="3"/>
    </row>
    <row r="32" spans="1:11">
      <c r="B32" s="3"/>
      <c r="C32" s="491" t="s">
        <v>37</v>
      </c>
      <c r="D32" s="212"/>
      <c r="E32" s="3"/>
      <c r="F32" s="3"/>
      <c r="G32" s="3"/>
      <c r="H32" s="3"/>
      <c r="I32" s="3"/>
      <c r="J32" s="3"/>
      <c r="K32" s="3"/>
    </row>
    <row r="33" spans="3:5">
      <c r="C33" s="490" t="s">
        <v>66</v>
      </c>
    </row>
    <row r="34" spans="3:5">
      <c r="E34" s="19"/>
    </row>
  </sheetData>
  <sheetProtection password="CFC9" sheet="1"/>
  <mergeCells count="18">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s>
  <phoneticPr fontId="30" type="noConversion"/>
  <conditionalFormatting sqref="K27:K29">
    <cfRule type="cellIs" dxfId="29" priority="4" stopIfTrue="1" operator="greaterThan">
      <formula>J27</formula>
    </cfRule>
    <cfRule type="cellIs" dxfId="28" priority="5" stopIfTrue="1" operator="between">
      <formula>J27</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r:id="rId1"/>
  <headerFooter>
    <oddFooter>&amp;L&amp;F&amp;C&amp;A&amp;R&amp;D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1"/>
  </sheetPr>
  <dimension ref="A1:P35"/>
  <sheetViews>
    <sheetView showGridLines="0" topLeftCell="A34" zoomScale="90" zoomScaleNormal="90" workbookViewId="0"/>
  </sheetViews>
  <sheetFormatPr baseColWidth="10" defaultColWidth="9.140625" defaultRowHeight="15"/>
  <cols>
    <col min="1" max="1" width="3.28515625" customWidth="1"/>
    <col min="2" max="2" width="14.28515625" customWidth="1"/>
    <col min="3" max="3" width="12.42578125" customWidth="1"/>
    <col min="4" max="4" width="13.140625" customWidth="1"/>
    <col min="5" max="5" width="11.42578125" customWidth="1"/>
    <col min="6" max="6" width="11.85546875" customWidth="1"/>
    <col min="7" max="7" width="18.7109375" customWidth="1"/>
    <col min="8" max="8" width="10.42578125" customWidth="1"/>
    <col min="9" max="9" width="13" customWidth="1"/>
    <col min="10" max="10" width="13.7109375" customWidth="1"/>
    <col min="11" max="11" width="13.5703125" customWidth="1"/>
    <col min="12" max="12" width="14.140625" customWidth="1"/>
  </cols>
  <sheetData>
    <row r="1" spans="1:16" ht="28.5" customHeight="1">
      <c r="C1" s="208"/>
      <c r="E1" s="209"/>
    </row>
    <row r="2" spans="1:16" ht="27.75" customHeight="1">
      <c r="B2" s="740" t="str">
        <f>+"Cuadro de mando:  "&amp;"  "&amp;+'Introducción de datos'!C4&amp;" - "&amp;'Introducción de datos'!G6</f>
        <v>Cuadro de mando:    Perú - VIH / SIDA</v>
      </c>
      <c r="C2" s="740"/>
      <c r="D2" s="740"/>
      <c r="E2" s="740"/>
      <c r="F2" s="740"/>
      <c r="G2" s="740"/>
      <c r="H2" s="740"/>
      <c r="I2" s="740"/>
      <c r="J2" s="740"/>
      <c r="K2" s="740"/>
      <c r="L2" s="740"/>
      <c r="M2" s="26"/>
      <c r="N2" s="26"/>
      <c r="O2" s="26"/>
      <c r="P2" s="26"/>
    </row>
    <row r="3" spans="1:16">
      <c r="B3" s="24" t="str">
        <f>+'Introducción de datos'!G8</f>
        <v>Seleccionar</v>
      </c>
      <c r="C3" s="746" t="str">
        <f>+'Introducción de datos'!I8</f>
        <v>Seleccionar</v>
      </c>
      <c r="D3" s="746"/>
      <c r="E3" s="743"/>
      <c r="F3" s="743"/>
      <c r="G3" s="743"/>
      <c r="H3" s="743"/>
      <c r="I3" s="743"/>
      <c r="J3" s="744" t="str">
        <f>+'Introducción de datos'!B16</f>
        <v>Periodo:</v>
      </c>
      <c r="K3" s="744"/>
      <c r="L3" s="178" t="str">
        <f>+'Introducción de datos'!C16</f>
        <v>P4</v>
      </c>
    </row>
    <row r="4" spans="1:16">
      <c r="B4" s="24" t="str">
        <f>+'Introducción de datos'!B12</f>
        <v>Ultima calificación:</v>
      </c>
      <c r="C4" s="723" t="str">
        <f>+'Introducción de datos'!C12</f>
        <v>Seleccionar</v>
      </c>
      <c r="D4" s="723"/>
      <c r="E4" s="743" t="str">
        <f>+'Introducción de datos'!C8</f>
        <v>CARE PERU</v>
      </c>
      <c r="F4" s="743"/>
      <c r="G4" s="743"/>
      <c r="H4" s="743"/>
      <c r="I4" s="743"/>
      <c r="J4" s="744" t="str">
        <f>+'Introducción de datos'!D16</f>
        <v>Desde:</v>
      </c>
      <c r="K4" s="750"/>
      <c r="L4" s="180">
        <f>+'Introducción de datos'!E16</f>
        <v>43831</v>
      </c>
    </row>
    <row r="5" spans="1:16" ht="18.75" customHeight="1">
      <c r="B5" s="24"/>
      <c r="C5" s="24"/>
      <c r="D5" s="743" t="str">
        <f>+'Introducción de datos'!G4</f>
        <v>Expansión de la Respuesta Nacional al VIH en poblaciones clave y vulnerables de ámbitos urbanos y amazónicos del Perú</v>
      </c>
      <c r="E5" s="743"/>
      <c r="F5" s="743"/>
      <c r="G5" s="743"/>
      <c r="H5" s="743"/>
      <c r="I5" s="743"/>
      <c r="J5" s="743"/>
      <c r="K5" s="24" t="str">
        <f>+'Introducción de datos'!F16</f>
        <v>Hasta:</v>
      </c>
      <c r="L5" s="180">
        <f>+'Introducción de datos'!G16</f>
        <v>44012</v>
      </c>
    </row>
    <row r="6" spans="1:16" ht="18.75">
      <c r="B6" s="23"/>
      <c r="C6" s="24"/>
      <c r="D6" s="25"/>
      <c r="E6" s="741" t="s">
        <v>198</v>
      </c>
      <c r="F6" s="742"/>
      <c r="G6" s="742"/>
      <c r="H6" s="742"/>
      <c r="I6" s="742"/>
    </row>
    <row r="7" spans="1:16">
      <c r="B7" s="327" t="str">
        <f>+'Introducción de datos'!B69&amp;"     "&amp;+J3&amp;" "&amp;+L3</f>
        <v>M1: Estado de las condiciones precedentes y acciones con fecha límite     Periodo: P4</v>
      </c>
      <c r="C7" s="21"/>
      <c r="H7" s="327" t="str">
        <f>+'Introducción de datos'!B76&amp;"         "&amp;+J3&amp;"  "&amp;+L3</f>
        <v>M2: Estado de los principales puestos directivos del RP         Periodo:  P4</v>
      </c>
    </row>
    <row r="8" spans="1:16">
      <c r="B8" s="421" t="s">
        <v>86</v>
      </c>
      <c r="C8" s="734"/>
      <c r="D8" s="735"/>
      <c r="E8" s="735"/>
      <c r="F8" s="736"/>
      <c r="G8" s="328"/>
      <c r="H8" s="421" t="s">
        <v>86</v>
      </c>
      <c r="I8" s="734"/>
      <c r="J8" s="737"/>
      <c r="K8" s="737"/>
      <c r="L8" s="738"/>
    </row>
    <row r="9" spans="1:16">
      <c r="B9" s="19"/>
      <c r="C9" s="19"/>
      <c r="D9" s="19"/>
      <c r="E9" s="19"/>
      <c r="F9" s="19"/>
      <c r="G9" s="19"/>
      <c r="H9" s="19"/>
    </row>
    <row r="10" spans="1:16">
      <c r="A10" s="46"/>
      <c r="B10" s="19"/>
      <c r="C10" s="19"/>
      <c r="D10" s="745"/>
      <c r="E10" s="523"/>
      <c r="F10" s="523"/>
      <c r="G10" s="186"/>
      <c r="H10" s="19"/>
      <c r="N10" s="48"/>
      <c r="O10" s="48"/>
      <c r="P10" s="47"/>
    </row>
    <row r="11" spans="1:16">
      <c r="B11" s="19"/>
      <c r="C11" s="28"/>
      <c r="D11" s="745"/>
      <c r="E11" s="28"/>
      <c r="F11" s="28"/>
      <c r="G11" s="28"/>
      <c r="H11" s="28"/>
      <c r="N11" s="19"/>
      <c r="O11" s="19"/>
    </row>
    <row r="12" spans="1:16">
      <c r="B12" s="28"/>
      <c r="C12" s="76"/>
      <c r="D12" s="77"/>
      <c r="E12" s="77"/>
      <c r="F12" s="77"/>
      <c r="G12" s="77"/>
      <c r="H12" s="78"/>
    </row>
    <row r="13" spans="1:16">
      <c r="B13" s="28"/>
      <c r="C13" s="76"/>
      <c r="D13" s="77"/>
      <c r="E13" s="77"/>
      <c r="F13" s="77"/>
      <c r="G13" s="77"/>
      <c r="H13" s="78"/>
    </row>
    <row r="15" spans="1:16" ht="27.75" customHeight="1">
      <c r="B15" s="327" t="str">
        <f>+'Introducción de datos'!B81&amp;"            "&amp;+J3&amp;" "&amp;+L3</f>
        <v>M3: Acuerdos contractuales (subreceptores)             Periodo: P4</v>
      </c>
      <c r="H15" s="327" t="str">
        <f>+'Introducción de datos'!B86&amp;"                "&amp;+J3&amp;" "&amp;+L3</f>
        <v>M4: Número de informes completos recibidos a tiempo                Periodo: P4</v>
      </c>
    </row>
    <row r="16" spans="1:16">
      <c r="B16" s="421" t="s">
        <v>86</v>
      </c>
      <c r="C16" s="734"/>
      <c r="D16" s="737"/>
      <c r="E16" s="737"/>
      <c r="F16" s="738"/>
      <c r="G16" s="328"/>
      <c r="H16" s="421" t="s">
        <v>86</v>
      </c>
      <c r="I16" s="734"/>
      <c r="J16" s="735"/>
      <c r="K16" s="735"/>
      <c r="L16" s="736"/>
    </row>
    <row r="17" spans="2:13">
      <c r="B17" s="29"/>
      <c r="H17" s="30"/>
    </row>
    <row r="18" spans="2:13">
      <c r="M18" s="80"/>
    </row>
    <row r="25" spans="2:13" ht="22.5" customHeight="1"/>
    <row r="26" spans="2:13">
      <c r="B26" s="327" t="str">
        <f>+'Introducción de datos'!B92</f>
        <v>M5: Presupuesto y compra de productos y equipo sanitario, medicamentos y productos farmacéuticos</v>
      </c>
      <c r="H26" s="327" t="str">
        <f>+'Introducción de datos'!B105&amp;"    "&amp;+J3&amp;"  "&amp;+L3</f>
        <v>M6: Diferencia entre existencias actuales y existencias de seguridad    Periodo:  P4</v>
      </c>
    </row>
    <row r="27" spans="2:13">
      <c r="B27" s="421" t="s">
        <v>86</v>
      </c>
      <c r="C27" s="731"/>
      <c r="D27" s="737"/>
      <c r="E27" s="737"/>
      <c r="F27" s="738"/>
      <c r="G27" s="328"/>
      <c r="H27" s="421" t="s">
        <v>86</v>
      </c>
      <c r="I27" s="734"/>
      <c r="J27" s="735"/>
      <c r="K27" s="735"/>
      <c r="L27" s="736"/>
    </row>
    <row r="28" spans="2:13" ht="15.75" thickBot="1"/>
    <row r="29" spans="2:13" ht="104.25" customHeight="1">
      <c r="F29" s="288"/>
      <c r="G29" s="288"/>
      <c r="H29" s="430" t="s">
        <v>67</v>
      </c>
      <c r="I29" s="431" t="s">
        <v>68</v>
      </c>
      <c r="J29" s="432" t="s">
        <v>202</v>
      </c>
      <c r="K29" s="422" t="s">
        <v>201</v>
      </c>
      <c r="L29" s="423" t="s">
        <v>200</v>
      </c>
    </row>
    <row r="30" spans="2:13" ht="15" customHeight="1">
      <c r="F30" s="288"/>
      <c r="G30" s="288"/>
      <c r="H30" s="747" t="str">
        <f>+'Introducción de datos'!B108</f>
        <v>VIH/SIDA</v>
      </c>
      <c r="I30" s="286" t="str">
        <f>+'Introducción de datos'!C108</f>
        <v>Producto 1</v>
      </c>
      <c r="J30" s="468" t="str">
        <f>+'Introducción de datos'!I108</f>
        <v/>
      </c>
      <c r="K30" s="469">
        <f>+'Introducción de datos'!J108</f>
        <v>0</v>
      </c>
      <c r="L30" s="472" t="str">
        <f>+'Introducción de datos'!K108</f>
        <v/>
      </c>
    </row>
    <row r="31" spans="2:13">
      <c r="F31" s="288"/>
      <c r="G31" s="288"/>
      <c r="H31" s="748"/>
      <c r="I31" s="286" t="str">
        <f>+'Introducción de datos'!C109</f>
        <v>Producto 2</v>
      </c>
      <c r="J31" s="468" t="str">
        <f>+'Introducción de datos'!I109</f>
        <v/>
      </c>
      <c r="K31" s="469">
        <f>+'Introducción de datos'!J109</f>
        <v>0</v>
      </c>
      <c r="L31" s="473" t="str">
        <f>+'Introducción de datos'!K109</f>
        <v/>
      </c>
    </row>
    <row r="32" spans="2:13">
      <c r="F32" s="288"/>
      <c r="G32" s="288"/>
      <c r="H32" s="748"/>
      <c r="I32" s="286" t="str">
        <f>+'Introducción de datos'!C110</f>
        <v>Producto 3</v>
      </c>
      <c r="J32" s="468" t="str">
        <f>+'Introducción de datos'!I110</f>
        <v/>
      </c>
      <c r="K32" s="469">
        <f>+'Introducción de datos'!J110</f>
        <v>0</v>
      </c>
      <c r="L32" s="472" t="str">
        <f>+'Introducción de datos'!K110</f>
        <v/>
      </c>
    </row>
    <row r="33" spans="2:12" ht="15.75" thickBot="1">
      <c r="F33" s="288"/>
      <c r="G33" s="288"/>
      <c r="H33" s="749"/>
      <c r="I33" s="287">
        <f>+'Introducción de datos'!C111</f>
        <v>0</v>
      </c>
      <c r="J33" s="470" t="str">
        <f>+'Introducción de datos'!I111</f>
        <v/>
      </c>
      <c r="K33" s="471">
        <f>+'Introducción de datos'!J111</f>
        <v>0</v>
      </c>
      <c r="L33" s="472" t="str">
        <f>+'Introducción de datos'!K111</f>
        <v/>
      </c>
    </row>
    <row r="34" spans="2:12" ht="39.75" customHeight="1">
      <c r="B34" s="739" t="str">
        <f>+'Introducción de datos'!B102</f>
        <v>* Incluye sólo los montos de las categorías 4 y 5 (Productos y equipamientos sanitarios y Medicamentos y productos farmacéuticos) de los  Informes Financieros Mejorados</v>
      </c>
      <c r="C34" s="739"/>
      <c r="D34" s="739"/>
      <c r="E34" s="739"/>
      <c r="F34" s="19"/>
      <c r="G34" s="19"/>
      <c r="H34" s="194"/>
      <c r="I34" s="195"/>
      <c r="J34" s="196"/>
      <c r="K34" s="186"/>
      <c r="L34" s="20"/>
    </row>
    <row r="35" spans="2:12">
      <c r="F35" s="19"/>
      <c r="G35" s="19"/>
      <c r="H35" s="19"/>
      <c r="I35" s="19"/>
      <c r="J35" s="19"/>
      <c r="K35" s="19"/>
      <c r="L35" s="19"/>
    </row>
  </sheetData>
  <sheetProtection password="CFC9" sheet="1"/>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sheetPr>
  <dimension ref="A1:AI46"/>
  <sheetViews>
    <sheetView showGridLines="0" topLeftCell="B1" zoomScale="130" zoomScaleNormal="130" workbookViewId="0">
      <selection activeCell="L27" sqref="L27:Q27"/>
    </sheetView>
  </sheetViews>
  <sheetFormatPr baseColWidth="10" defaultColWidth="9.140625" defaultRowHeight="15"/>
  <cols>
    <col min="1" max="1" width="0.42578125" customWidth="1"/>
    <col min="2" max="2" width="17.85546875" customWidth="1"/>
    <col min="3" max="3" width="16.140625" customWidth="1"/>
    <col min="4" max="4" width="17.28515625" customWidth="1"/>
    <col min="5" max="5" width="8" customWidth="1"/>
    <col min="6" max="6" width="10.7109375" customWidth="1"/>
    <col min="7" max="7" width="5.7109375" customWidth="1"/>
    <col min="8" max="8" width="6.28515625" customWidth="1"/>
    <col min="9" max="9" width="6" customWidth="1"/>
    <col min="10" max="10" width="4.140625" customWidth="1"/>
    <col min="11" max="11" width="12.42578125" customWidth="1"/>
    <col min="12" max="12" width="12.140625" customWidth="1"/>
    <col min="13" max="13" width="5" customWidth="1"/>
    <col min="14" max="14" width="6.5703125" customWidth="1"/>
    <col min="15" max="15" width="4.140625" customWidth="1"/>
    <col min="16" max="16" width="15.7109375" customWidth="1"/>
    <col min="17" max="17" width="11.7109375" customWidth="1"/>
    <col min="18" max="18" width="6.5703125" customWidth="1"/>
  </cols>
  <sheetData>
    <row r="1" spans="1:35" ht="26.25" customHeight="1">
      <c r="A1" s="3"/>
      <c r="B1" s="3"/>
      <c r="C1" s="3"/>
      <c r="D1" s="3"/>
      <c r="E1" s="3"/>
      <c r="F1" s="3"/>
      <c r="G1" s="3"/>
      <c r="H1" s="3"/>
      <c r="I1" s="3"/>
      <c r="J1" s="3"/>
      <c r="K1" s="3"/>
      <c r="L1" s="3"/>
      <c r="M1" s="3"/>
      <c r="N1" s="3"/>
      <c r="O1" s="3"/>
      <c r="P1" s="3"/>
    </row>
    <row r="2" spans="1:35" ht="21.75" customHeight="1">
      <c r="A2" s="3"/>
      <c r="B2" s="751" t="str">
        <f>+"Cuadro de mando:  "&amp;"  "&amp;+'Introducción de datos'!C4&amp;" - "&amp;'Introducción de datos'!G6</f>
        <v>Cuadro de mando:    Perú - VIH / SIDA</v>
      </c>
      <c r="C2" s="751"/>
      <c r="D2" s="751"/>
      <c r="E2" s="751"/>
      <c r="F2" s="751"/>
      <c r="G2" s="751"/>
      <c r="H2" s="751"/>
      <c r="I2" s="751"/>
      <c r="J2" s="751"/>
      <c r="K2" s="751"/>
      <c r="L2" s="751"/>
      <c r="M2" s="751"/>
      <c r="N2" s="751"/>
      <c r="O2" s="751"/>
      <c r="P2" s="751"/>
      <c r="Q2" s="751"/>
    </row>
    <row r="3" spans="1:35" ht="18.75">
      <c r="A3" s="3"/>
      <c r="B3" s="114" t="str">
        <f>+'Introducción de datos'!G8</f>
        <v>Seleccionar</v>
      </c>
      <c r="C3" s="722" t="str">
        <f>+'Introducción de datos'!I8</f>
        <v>Seleccionar</v>
      </c>
      <c r="D3" s="722"/>
      <c r="E3" s="721"/>
      <c r="F3" s="721"/>
      <c r="G3" s="721"/>
      <c r="H3" s="721"/>
      <c r="I3" s="755"/>
      <c r="J3" s="755"/>
      <c r="K3" s="755"/>
      <c r="L3" s="3"/>
      <c r="M3" s="3"/>
      <c r="O3" s="719" t="str">
        <f>+'Introducción de datos'!B16</f>
        <v>Periodo:</v>
      </c>
      <c r="P3" s="719"/>
      <c r="Q3" s="179" t="str">
        <f>+'Introducción de datos'!C16</f>
        <v>P4</v>
      </c>
    </row>
    <row r="4" spans="1:35" ht="12" customHeight="1">
      <c r="A4" s="3"/>
      <c r="B4" s="114" t="str">
        <f>+'Introducción de datos'!B12</f>
        <v>Ultima calificación:</v>
      </c>
      <c r="C4" s="756" t="str">
        <f>+'Introducción de datos'!C12</f>
        <v>Seleccionar</v>
      </c>
      <c r="D4" s="756"/>
      <c r="E4" s="721" t="str">
        <f>+'Introducción de datos'!C8</f>
        <v>CARE PERU</v>
      </c>
      <c r="F4" s="721"/>
      <c r="G4" s="721"/>
      <c r="H4" s="721"/>
      <c r="I4" s="721"/>
      <c r="J4" s="721"/>
      <c r="K4" s="721"/>
      <c r="L4" s="721"/>
      <c r="M4" s="3"/>
      <c r="O4" s="289"/>
      <c r="P4" s="114" t="str">
        <f>+'Introducción de datos'!D16</f>
        <v>Desde:</v>
      </c>
      <c r="Q4" s="290">
        <f>+'Introducción de datos'!E16</f>
        <v>43831</v>
      </c>
      <c r="Y4" s="70"/>
      <c r="Z4" s="70"/>
      <c r="AA4" s="70"/>
      <c r="AB4" s="70"/>
      <c r="AC4" s="70"/>
    </row>
    <row r="5" spans="1:35" ht="15.75" customHeight="1">
      <c r="A5" s="3"/>
      <c r="B5" s="114"/>
      <c r="C5" s="114"/>
      <c r="D5" s="721" t="str">
        <f>+'Introducción de datos'!G4</f>
        <v>Expansión de la Respuesta Nacional al VIH en poblaciones clave y vulnerables de ámbitos urbanos y amazónicos del Perú</v>
      </c>
      <c r="E5" s="721"/>
      <c r="F5" s="721"/>
      <c r="G5" s="721"/>
      <c r="H5" s="721"/>
      <c r="I5" s="721"/>
      <c r="J5" s="721"/>
      <c r="K5" s="721"/>
      <c r="L5" s="721"/>
      <c r="M5" s="721"/>
      <c r="N5" s="721"/>
      <c r="P5" s="114" t="str">
        <f>+'Introducción de datos'!F16</f>
        <v>Hasta:</v>
      </c>
      <c r="Q5" s="290">
        <f>+'Introducción de datos'!G16</f>
        <v>44012</v>
      </c>
      <c r="S5" s="203"/>
      <c r="T5" s="203"/>
      <c r="U5" s="203"/>
      <c r="V5" s="203"/>
      <c r="W5" s="203"/>
      <c r="X5" s="203"/>
      <c r="Y5" s="70"/>
      <c r="Z5" s="70"/>
      <c r="AA5" s="70" t="s">
        <v>88</v>
      </c>
      <c r="AB5" s="70"/>
      <c r="AC5" s="424" t="s">
        <v>89</v>
      </c>
      <c r="AD5" s="203"/>
      <c r="AE5" s="203"/>
      <c r="AF5" s="203"/>
      <c r="AG5" s="203"/>
      <c r="AH5" s="203"/>
      <c r="AI5" s="203"/>
    </row>
    <row r="6" spans="1:35" ht="15.75" customHeight="1">
      <c r="A6" s="3"/>
      <c r="B6" s="114"/>
      <c r="C6" s="114"/>
      <c r="D6" s="201"/>
      <c r="E6" s="201"/>
      <c r="F6" s="753" t="s">
        <v>211</v>
      </c>
      <c r="G6" s="754"/>
      <c r="H6" s="754"/>
      <c r="I6" s="754"/>
      <c r="J6" s="754"/>
      <c r="K6" s="754"/>
      <c r="L6" s="201"/>
      <c r="M6" s="3"/>
      <c r="N6" s="3"/>
      <c r="O6" s="181"/>
      <c r="P6" s="234"/>
      <c r="S6" s="203"/>
      <c r="T6" s="203"/>
      <c r="U6" s="203"/>
      <c r="V6" s="203"/>
      <c r="W6" s="203"/>
      <c r="X6" s="203"/>
      <c r="Y6" s="70"/>
      <c r="Z6" s="70"/>
      <c r="AA6" s="70"/>
      <c r="AB6" s="70"/>
      <c r="AC6" s="70"/>
      <c r="AD6" s="203"/>
      <c r="AE6" s="203"/>
      <c r="AF6" s="203"/>
      <c r="AG6" s="203"/>
      <c r="AH6" s="203"/>
      <c r="AI6" s="203"/>
    </row>
    <row r="7" spans="1:35" ht="3" customHeight="1">
      <c r="A7" s="3"/>
      <c r="B7" s="114"/>
      <c r="C7" s="114"/>
      <c r="D7" s="201"/>
      <c r="E7" s="201"/>
      <c r="F7" s="201"/>
      <c r="G7" s="201"/>
      <c r="H7" s="201"/>
      <c r="I7" s="201"/>
      <c r="J7" s="201"/>
      <c r="K7" s="201"/>
      <c r="L7" s="201"/>
      <c r="M7" s="3"/>
      <c r="N7" s="3"/>
      <c r="O7" s="181"/>
      <c r="P7" s="180"/>
      <c r="Q7" s="180"/>
      <c r="S7" s="203"/>
      <c r="T7" s="203"/>
      <c r="U7" s="203"/>
      <c r="V7" s="203"/>
      <c r="W7" s="203"/>
      <c r="X7" s="203"/>
      <c r="Y7" s="70"/>
      <c r="Z7" s="70"/>
      <c r="AA7" s="70"/>
      <c r="AB7" s="70"/>
      <c r="AC7" s="70"/>
      <c r="AD7" s="203"/>
      <c r="AE7" s="203"/>
      <c r="AF7" s="203"/>
      <c r="AG7" s="203"/>
      <c r="AH7" s="203"/>
      <c r="AI7" s="203"/>
    </row>
    <row r="8" spans="1:35" ht="18.75" customHeight="1">
      <c r="A8" s="3"/>
      <c r="B8" s="752" t="str">
        <f>+'Introducción de datos'!B118</f>
        <v>Porcentaje de hombres que tienen relaciones sexuales con hombres que se han sometido a pruebas de VIH durante el período de informe y conocen los resultados</v>
      </c>
      <c r="C8" s="752"/>
      <c r="D8" s="752"/>
      <c r="E8" s="752"/>
      <c r="F8" s="752" t="str">
        <f>+'Introducción de datos'!B120</f>
        <v>Porcentaje de personas transgénero que se han sometido a pruebas de VIH durante el período de informe y conocen los resultados</v>
      </c>
      <c r="G8" s="752"/>
      <c r="H8" s="752"/>
      <c r="I8" s="752"/>
      <c r="J8" s="752"/>
      <c r="K8" s="752"/>
      <c r="L8" s="752" t="str">
        <f>+'Introducción de datos'!B122</f>
        <v>Porcentaje de personas que viven con el VIH  que actualmente reciben tratamiento antirretroviral</v>
      </c>
      <c r="M8" s="752"/>
      <c r="N8" s="752"/>
      <c r="O8" s="752"/>
      <c r="P8" s="752"/>
      <c r="Q8" s="752"/>
      <c r="S8" s="203"/>
      <c r="T8" s="203"/>
      <c r="U8" s="203"/>
      <c r="V8" s="203"/>
      <c r="W8" s="203"/>
      <c r="X8" s="203"/>
      <c r="Y8" s="70"/>
      <c r="Z8" s="70"/>
      <c r="AA8" s="70"/>
      <c r="AB8" s="70"/>
      <c r="AC8" s="70"/>
      <c r="AD8" s="203"/>
      <c r="AE8" s="203"/>
      <c r="AF8" s="203"/>
      <c r="AG8" s="203"/>
      <c r="AH8" s="203"/>
      <c r="AI8" s="203"/>
    </row>
    <row r="9" spans="1:35" ht="18.75" customHeight="1">
      <c r="A9" s="3"/>
      <c r="B9" s="425" t="s">
        <v>213</v>
      </c>
      <c r="C9" s="782"/>
      <c r="D9" s="783"/>
      <c r="E9" s="784"/>
      <c r="F9" s="425" t="s">
        <v>213</v>
      </c>
      <c r="G9" s="782"/>
      <c r="H9" s="783"/>
      <c r="I9" s="783"/>
      <c r="J9" s="783"/>
      <c r="K9" s="784"/>
      <c r="L9" s="425" t="s">
        <v>213</v>
      </c>
      <c r="M9" s="782"/>
      <c r="N9" s="785"/>
      <c r="O9" s="785"/>
      <c r="P9" s="785"/>
      <c r="Q9" s="786"/>
      <c r="S9" s="203"/>
      <c r="T9" s="203"/>
      <c r="U9" s="203"/>
      <c r="V9" s="203"/>
      <c r="W9" s="203"/>
      <c r="X9" s="203"/>
      <c r="Y9" s="203"/>
      <c r="Z9" s="203"/>
      <c r="AA9" s="203"/>
      <c r="AB9" s="203"/>
      <c r="AC9" s="203"/>
      <c r="AD9" s="203"/>
      <c r="AE9" s="203"/>
      <c r="AF9" s="203"/>
      <c r="AG9" s="203"/>
      <c r="AH9" s="203"/>
      <c r="AI9" s="203"/>
    </row>
    <row r="10" spans="1:35" ht="18.75" customHeight="1">
      <c r="A10" s="3"/>
      <c r="B10" s="114"/>
      <c r="C10" s="114"/>
      <c r="D10" s="201"/>
      <c r="E10" s="201"/>
      <c r="F10" s="201"/>
      <c r="G10" s="201"/>
      <c r="H10" s="201"/>
      <c r="I10" s="201"/>
      <c r="J10" s="201"/>
      <c r="K10" s="201"/>
      <c r="L10" s="201"/>
      <c r="M10" s="3"/>
      <c r="N10" s="3"/>
      <c r="O10" s="181"/>
      <c r="P10" s="180"/>
      <c r="S10" s="203"/>
      <c r="T10" s="203"/>
      <c r="U10" s="203"/>
      <c r="V10" s="203"/>
      <c r="W10" s="203"/>
      <c r="X10" s="203"/>
      <c r="Y10" s="203"/>
      <c r="Z10" s="203"/>
      <c r="AA10" s="203"/>
      <c r="AB10" s="203"/>
      <c r="AC10" s="203"/>
      <c r="AD10" s="203"/>
      <c r="AE10" s="203"/>
      <c r="AF10" s="203"/>
      <c r="AG10" s="203"/>
      <c r="AH10" s="203"/>
      <c r="AI10" s="203"/>
    </row>
    <row r="11" spans="1:35" ht="18.75" customHeight="1">
      <c r="A11" s="3"/>
      <c r="B11" s="114"/>
      <c r="C11" s="114"/>
      <c r="D11" s="201"/>
      <c r="E11" s="201"/>
      <c r="F11" s="201"/>
      <c r="G11" s="201"/>
      <c r="H11" s="201"/>
      <c r="I11" s="201"/>
      <c r="J11" s="201"/>
      <c r="K11" s="201"/>
      <c r="L11" s="201"/>
      <c r="M11" s="3"/>
      <c r="N11" s="3"/>
      <c r="O11" s="181"/>
      <c r="P11" s="180"/>
      <c r="S11" s="203"/>
      <c r="T11" s="203"/>
      <c r="U11" s="203"/>
      <c r="V11" s="203"/>
      <c r="W11" s="203"/>
      <c r="X11" s="203"/>
      <c r="Y11" s="203"/>
      <c r="Z11" s="203"/>
      <c r="AA11" s="203"/>
      <c r="AB11" s="203"/>
      <c r="AC11" s="203"/>
      <c r="AD11" s="203"/>
      <c r="AE11" s="203"/>
      <c r="AF11" s="203"/>
      <c r="AG11" s="203"/>
      <c r="AH11" s="203"/>
      <c r="AI11" s="203"/>
    </row>
    <row r="12" spans="1:35" ht="18.75" customHeight="1">
      <c r="A12" s="3"/>
      <c r="B12" s="114"/>
      <c r="C12" s="114"/>
      <c r="D12" s="201"/>
      <c r="E12" s="201"/>
      <c r="F12" s="201"/>
      <c r="G12" s="201"/>
      <c r="H12" s="201"/>
      <c r="I12" s="201"/>
      <c r="J12" s="201"/>
      <c r="K12" s="201"/>
      <c r="L12" s="201"/>
      <c r="M12" s="3"/>
      <c r="N12" s="3"/>
      <c r="O12" s="181"/>
      <c r="P12" s="180"/>
      <c r="S12" s="203"/>
      <c r="T12" s="203"/>
      <c r="U12" s="203"/>
      <c r="V12" s="203"/>
      <c r="W12" s="203"/>
      <c r="X12" s="203"/>
      <c r="Y12" s="203"/>
      <c r="Z12" s="203"/>
      <c r="AA12" s="203"/>
      <c r="AB12" s="203"/>
      <c r="AC12" s="203"/>
      <c r="AD12" s="203"/>
      <c r="AE12" s="203"/>
      <c r="AF12" s="203"/>
      <c r="AG12" s="203"/>
      <c r="AH12" s="203"/>
      <c r="AI12" s="203"/>
    </row>
    <row r="13" spans="1:35" ht="18.75" customHeight="1">
      <c r="A13" s="3"/>
      <c r="B13" s="114"/>
      <c r="C13" s="114"/>
      <c r="D13" s="201"/>
      <c r="E13" s="201"/>
      <c r="F13" s="201"/>
      <c r="G13" s="201"/>
      <c r="H13" s="201"/>
      <c r="I13" s="201"/>
      <c r="J13" s="201"/>
      <c r="K13" s="201"/>
      <c r="L13" s="201"/>
      <c r="M13" s="3"/>
      <c r="N13" s="3"/>
      <c r="O13" s="181"/>
      <c r="P13" s="180"/>
      <c r="S13" s="203"/>
      <c r="T13" s="203"/>
      <c r="U13" s="203"/>
      <c r="V13" s="203"/>
      <c r="W13" s="203"/>
      <c r="X13" s="203"/>
      <c r="Y13" s="203"/>
      <c r="Z13" s="203"/>
      <c r="AA13" s="203"/>
      <c r="AB13" s="203"/>
      <c r="AC13" s="203"/>
      <c r="AD13" s="203"/>
      <c r="AE13" s="203"/>
      <c r="AF13" s="203"/>
      <c r="AG13" s="203"/>
      <c r="AH13" s="203"/>
      <c r="AI13" s="203"/>
    </row>
    <row r="14" spans="1:35" ht="18.75" customHeight="1">
      <c r="A14" s="3"/>
      <c r="B14" s="114"/>
      <c r="C14" s="114"/>
      <c r="D14" s="201"/>
      <c r="E14" s="201"/>
      <c r="F14" s="201"/>
      <c r="G14" s="201"/>
      <c r="H14" s="201"/>
      <c r="I14" s="201"/>
      <c r="J14" s="201"/>
      <c r="K14" s="201"/>
      <c r="L14" s="201"/>
      <c r="M14" s="3"/>
      <c r="N14" s="3"/>
      <c r="O14" s="181"/>
      <c r="P14" s="180"/>
      <c r="S14" s="203"/>
      <c r="T14" s="203"/>
      <c r="U14" s="203"/>
      <c r="V14" s="203"/>
      <c r="W14" s="203"/>
      <c r="X14" s="203"/>
      <c r="Y14" s="203"/>
      <c r="Z14" s="203"/>
      <c r="AA14" s="203"/>
      <c r="AB14" s="203"/>
      <c r="AC14" s="203"/>
      <c r="AD14" s="203"/>
      <c r="AE14" s="203"/>
      <c r="AF14" s="203"/>
      <c r="AG14" s="203"/>
      <c r="AH14" s="203"/>
      <c r="AI14" s="203"/>
    </row>
    <row r="15" spans="1:35" ht="18.75" customHeight="1">
      <c r="A15" s="3"/>
      <c r="B15" s="114"/>
      <c r="C15" s="114"/>
      <c r="D15" s="201"/>
      <c r="E15" s="201"/>
      <c r="F15" s="201"/>
      <c r="G15" s="201"/>
      <c r="H15" s="201"/>
      <c r="I15" s="201"/>
      <c r="J15" s="201"/>
      <c r="K15" s="201"/>
      <c r="L15" s="201"/>
      <c r="M15" s="3"/>
      <c r="N15" s="3"/>
      <c r="O15" s="181"/>
      <c r="P15" s="180"/>
      <c r="S15" s="203"/>
      <c r="T15" s="203"/>
      <c r="U15" s="203"/>
      <c r="V15" s="203"/>
      <c r="W15" s="203"/>
      <c r="X15" s="203"/>
      <c r="Y15" s="203"/>
      <c r="Z15" s="203"/>
      <c r="AA15" s="203"/>
      <c r="AB15" s="203"/>
      <c r="AC15" s="203"/>
      <c r="AD15" s="203"/>
      <c r="AE15" s="203"/>
      <c r="AF15" s="203"/>
      <c r="AG15" s="203"/>
      <c r="AH15" s="203"/>
      <c r="AI15" s="203"/>
    </row>
    <row r="16" spans="1:35" ht="18.75" customHeight="1">
      <c r="A16" s="3"/>
      <c r="B16" s="114"/>
      <c r="C16" s="114"/>
      <c r="D16" s="201"/>
      <c r="E16" s="201"/>
      <c r="F16" s="201"/>
      <c r="G16" s="201"/>
      <c r="H16" s="201"/>
      <c r="I16" s="201"/>
      <c r="J16" s="201"/>
      <c r="K16" s="201"/>
      <c r="L16" s="201"/>
      <c r="M16" s="3"/>
      <c r="N16" s="3"/>
      <c r="O16" s="181"/>
      <c r="P16" s="180"/>
      <c r="S16" s="203"/>
      <c r="T16" s="203"/>
      <c r="U16" s="203"/>
      <c r="V16" s="203"/>
      <c r="W16" s="203"/>
      <c r="X16" s="203"/>
      <c r="Y16" s="203"/>
      <c r="Z16" s="203"/>
      <c r="AA16" s="203"/>
      <c r="AB16" s="203"/>
      <c r="AC16" s="203"/>
      <c r="AD16" s="203"/>
      <c r="AE16" s="203"/>
      <c r="AF16" s="203"/>
      <c r="AG16" s="203"/>
      <c r="AH16" s="203"/>
      <c r="AI16" s="203"/>
    </row>
    <row r="17" spans="1:35" ht="17.25" customHeight="1">
      <c r="A17" s="3"/>
      <c r="B17" s="114"/>
      <c r="C17" s="114"/>
      <c r="D17" s="201"/>
      <c r="E17" s="201"/>
      <c r="F17" s="201"/>
      <c r="G17" s="201"/>
      <c r="H17" s="201"/>
      <c r="I17" s="201"/>
      <c r="J17" s="201"/>
      <c r="K17" s="201"/>
      <c r="L17" s="201"/>
      <c r="M17" s="3"/>
      <c r="N17" s="3"/>
      <c r="O17" s="181"/>
      <c r="P17" s="180"/>
      <c r="S17" s="203"/>
      <c r="T17" s="203"/>
      <c r="U17" s="203"/>
      <c r="V17" s="203"/>
      <c r="W17" s="203"/>
      <c r="X17" s="203"/>
      <c r="Y17" s="203"/>
      <c r="Z17" s="203"/>
      <c r="AA17" s="203"/>
      <c r="AB17" s="203"/>
      <c r="AC17" s="203"/>
      <c r="AD17" s="203"/>
      <c r="AE17" s="203"/>
      <c r="AF17" s="203"/>
      <c r="AG17" s="203"/>
      <c r="AH17" s="203"/>
      <c r="AI17" s="203"/>
    </row>
    <row r="18" spans="1:35" ht="6" customHeight="1">
      <c r="A18" s="3"/>
      <c r="B18" s="118"/>
      <c r="C18" s="114"/>
      <c r="D18" s="115"/>
      <c r="E18" s="768"/>
      <c r="F18" s="768"/>
      <c r="G18" s="768"/>
      <c r="H18" s="768"/>
      <c r="I18" s="768"/>
      <c r="J18" s="768"/>
      <c r="K18" s="768"/>
      <c r="L18" s="3"/>
      <c r="M18" s="3"/>
      <c r="N18" s="3"/>
      <c r="O18" s="3"/>
      <c r="P18" s="3"/>
      <c r="S18" s="203"/>
      <c r="T18" s="203"/>
      <c r="U18" s="203"/>
      <c r="V18" s="203"/>
      <c r="W18" s="203"/>
      <c r="X18" s="203"/>
      <c r="Y18" s="203"/>
      <c r="Z18" s="203"/>
      <c r="AA18" s="203"/>
      <c r="AB18" s="203"/>
      <c r="AC18" s="203"/>
      <c r="AD18" s="203"/>
      <c r="AE18" s="203"/>
      <c r="AF18" s="203"/>
      <c r="AG18" s="203"/>
      <c r="AH18" s="203"/>
      <c r="AI18" s="203"/>
    </row>
    <row r="19" spans="1:35" ht="24" customHeight="1">
      <c r="A19" s="3"/>
      <c r="B19" s="769" t="s">
        <v>212</v>
      </c>
      <c r="C19" s="769"/>
      <c r="D19" s="769"/>
      <c r="E19" s="379" t="s">
        <v>79</v>
      </c>
      <c r="F19" s="379" t="s">
        <v>206</v>
      </c>
      <c r="G19" s="764" t="s">
        <v>203</v>
      </c>
      <c r="H19" s="765"/>
      <c r="I19" s="766" t="s">
        <v>204</v>
      </c>
      <c r="J19" s="767"/>
      <c r="K19" s="433" t="s">
        <v>205</v>
      </c>
      <c r="L19" s="757" t="s">
        <v>199</v>
      </c>
      <c r="M19" s="758"/>
      <c r="N19" s="758"/>
      <c r="O19" s="758"/>
      <c r="P19" s="758"/>
      <c r="Q19" s="759"/>
      <c r="S19" s="64" t="s">
        <v>92</v>
      </c>
      <c r="T19" s="65">
        <v>0</v>
      </c>
      <c r="U19" s="66">
        <v>0.3</v>
      </c>
      <c r="V19" s="66">
        <v>0.6</v>
      </c>
      <c r="W19" s="66">
        <v>0.9</v>
      </c>
      <c r="X19" s="66">
        <v>1</v>
      </c>
      <c r="Y19" s="70"/>
      <c r="Z19" s="70"/>
      <c r="AA19" s="64" t="s">
        <v>93</v>
      </c>
      <c r="AB19" s="65">
        <v>0</v>
      </c>
      <c r="AC19" s="66">
        <v>0.2</v>
      </c>
      <c r="AD19" s="66">
        <v>0.4</v>
      </c>
      <c r="AE19" s="66">
        <v>0.6</v>
      </c>
      <c r="AF19" s="66">
        <v>0.8</v>
      </c>
      <c r="AG19" s="70"/>
      <c r="AH19" s="70"/>
      <c r="AI19" s="70"/>
    </row>
    <row r="20" spans="1:35" ht="24" customHeight="1">
      <c r="A20" s="3"/>
      <c r="B20" s="770" t="str">
        <f>+'Introducción de datos'!B118</f>
        <v>Porcentaje de hombres que tienen relaciones sexuales con hombres que se han sometido a pruebas de VIH durante el período de informe y conocen los resultados</v>
      </c>
      <c r="C20" s="770"/>
      <c r="D20" s="770"/>
      <c r="E20" s="125">
        <f ca="1">OFFSET('Introducción de datos'!$G$117,1,RIGHT('Introducción de datos'!$C$16,LEN('Introducción de datos'!$C$16)-1),1,1)</f>
        <v>0</v>
      </c>
      <c r="F20" s="125">
        <f ca="1">OFFSET('Introducción de datos'!$G$117,2,RIGHT('Introducción de datos'!$C$16,LEN('Introducción de datos'!$C$16)-1),1,1)</f>
        <v>9261</v>
      </c>
      <c r="G20" s="761">
        <f t="shared" ref="G20:G29" ca="1" si="0">+IF(ISERROR(F20/E20),0,F20/E20)</f>
        <v>0</v>
      </c>
      <c r="H20" s="762"/>
      <c r="I20" s="762"/>
      <c r="J20" s="762"/>
      <c r="K20" s="763"/>
      <c r="L20" s="760" t="s">
        <v>353</v>
      </c>
      <c r="M20" s="760"/>
      <c r="N20" s="760"/>
      <c r="O20" s="760"/>
      <c r="P20" s="760"/>
      <c r="Q20" s="760"/>
      <c r="S20" s="64" t="s">
        <v>91</v>
      </c>
      <c r="T20" s="67">
        <v>0.3</v>
      </c>
      <c r="U20" s="66">
        <v>0.6</v>
      </c>
      <c r="V20" s="66">
        <v>0.9</v>
      </c>
      <c r="W20" s="66">
        <v>1</v>
      </c>
      <c r="X20" s="66">
        <v>2</v>
      </c>
      <c r="Y20" s="70"/>
      <c r="Z20" s="70"/>
      <c r="AA20" s="64" t="s">
        <v>90</v>
      </c>
      <c r="AB20" s="67">
        <v>0.2</v>
      </c>
      <c r="AC20" s="66">
        <v>0.4</v>
      </c>
      <c r="AD20" s="66">
        <v>0.6</v>
      </c>
      <c r="AE20" s="66">
        <v>0.8</v>
      </c>
      <c r="AF20" s="66">
        <v>1</v>
      </c>
      <c r="AG20" s="70"/>
      <c r="AH20" s="70"/>
      <c r="AI20" s="70"/>
    </row>
    <row r="21" spans="1:35" ht="24" customHeight="1">
      <c r="A21" s="3"/>
      <c r="B21" s="770" t="str">
        <f>+'Introducción de datos'!B120</f>
        <v>Porcentaje de personas transgénero que se han sometido a pruebas de VIH durante el período de informe y conocen los resultados</v>
      </c>
      <c r="C21" s="770"/>
      <c r="D21" s="770"/>
      <c r="E21" s="125">
        <f ca="1">OFFSET('Introducción de datos'!$G$117,3,RIGHT('Introducción de datos'!$C$16,LEN('Introducción de datos'!$C$16)-1),1,1)</f>
        <v>0</v>
      </c>
      <c r="F21" s="125">
        <f ca="1">OFFSET('Introducción de datos'!$G$117,4,RIGHT('Introducción de datos'!$C$16,LEN('Introducción de datos'!$C$16)-1),1,1)</f>
        <v>938</v>
      </c>
      <c r="G21" s="761">
        <f t="shared" ca="1" si="0"/>
        <v>0</v>
      </c>
      <c r="H21" s="762"/>
      <c r="I21" s="762"/>
      <c r="J21" s="762"/>
      <c r="K21" s="763"/>
      <c r="L21" s="760" t="s">
        <v>355</v>
      </c>
      <c r="M21" s="760"/>
      <c r="N21" s="760"/>
      <c r="O21" s="760"/>
      <c r="P21" s="760"/>
      <c r="Q21" s="760"/>
      <c r="S21" s="68"/>
      <c r="T21" s="69" t="str">
        <f>"de "&amp;T19&amp;" a "&amp;T20</f>
        <v>de 0 a 0.3</v>
      </c>
      <c r="U21" s="69" t="str">
        <f>"de "&amp;U19&amp;" a "&amp;U20</f>
        <v>de 0.3 a 0.6</v>
      </c>
      <c r="V21" s="69" t="str">
        <f>"de "&amp;V19&amp;" a "&amp;V20</f>
        <v>de 0.6 a 0.9</v>
      </c>
      <c r="W21" s="69" t="str">
        <f>"de "&amp;W19&amp;" a "&amp;W20</f>
        <v>de 0.9 a 1</v>
      </c>
      <c r="X21" s="69" t="str">
        <f>"de "&amp;X19&amp;" a "&amp;X20</f>
        <v>de 1 a 2</v>
      </c>
      <c r="Y21" s="70"/>
      <c r="Z21" s="426" t="s">
        <v>154</v>
      </c>
      <c r="AA21" s="427" t="s">
        <v>155</v>
      </c>
      <c r="AB21" s="69" t="str">
        <f>"de "&amp;AB19&amp;" a "&amp;AB20</f>
        <v>de 0 a 0.2</v>
      </c>
      <c r="AC21" s="69" t="str">
        <f>"de "&amp;AC19&amp;" a "&amp;AC20</f>
        <v>de 0.2 a 0.4</v>
      </c>
      <c r="AD21" s="69" t="str">
        <f>"de "&amp;AD19&amp;" a "&amp;AD20</f>
        <v>de 0.4 a 0.6</v>
      </c>
      <c r="AE21" s="69" t="str">
        <f>"de "&amp;AE19&amp;" a "&amp;AE20</f>
        <v>de 0.6 a 0.8</v>
      </c>
      <c r="AF21" s="69" t="str">
        <f>"de "&amp;AF19&amp;" a "&amp;AF20</f>
        <v>de 0.8 a 1</v>
      </c>
      <c r="AG21" s="70"/>
      <c r="AH21" s="70"/>
      <c r="AI21" s="70"/>
    </row>
    <row r="22" spans="1:35" ht="24" customHeight="1">
      <c r="A22" s="3"/>
      <c r="B22" s="770" t="str">
        <f>+'Introducción de datos'!B122</f>
        <v>Porcentaje de personas que viven con el VIH  que actualmente reciben tratamiento antirretroviral</v>
      </c>
      <c r="C22" s="770"/>
      <c r="D22" s="770"/>
      <c r="E22" s="125">
        <f ca="1">OFFSET('Introducción de datos'!$G$117,5,RIGHT('Introducción de datos'!$C$16,LEN('Introducción de datos'!$C$16)-1),1,1)</f>
        <v>0</v>
      </c>
      <c r="F22" s="125">
        <f ca="1">OFFSET('Introducción de datos'!$G$117,6,RIGHT('Introducción de datos'!$C$16,LEN('Introducción de datos'!$C$16)-1),1,1)</f>
        <v>68597</v>
      </c>
      <c r="G22" s="761">
        <f t="shared" ca="1" si="0"/>
        <v>0</v>
      </c>
      <c r="H22" s="762"/>
      <c r="I22" s="762"/>
      <c r="J22" s="762"/>
      <c r="K22" s="763"/>
      <c r="L22" s="760" t="s">
        <v>354</v>
      </c>
      <c r="M22" s="760"/>
      <c r="N22" s="760"/>
      <c r="O22" s="760"/>
      <c r="P22" s="760"/>
      <c r="Q22" s="760"/>
      <c r="S22" s="68"/>
      <c r="T22" s="66" t="e">
        <f t="shared" ref="T22:W33" si="1">IF($K20&gt;T$19,IF($K20&lt;=T$20,$K20,NA()),NA())</f>
        <v>#N/A</v>
      </c>
      <c r="U22" s="66" t="e">
        <f t="shared" si="1"/>
        <v>#N/A</v>
      </c>
      <c r="V22" s="66" t="e">
        <f t="shared" si="1"/>
        <v>#N/A</v>
      </c>
      <c r="W22" s="66" t="e">
        <f t="shared" si="1"/>
        <v>#N/A</v>
      </c>
      <c r="X22" s="66" t="e">
        <f>IF($K20&gt;X$19,IF($K20&lt;=X$20,1,NA()),NA())</f>
        <v>#N/A</v>
      </c>
      <c r="Y22" s="70"/>
      <c r="Z22" s="177" t="e">
        <f>+'Información de la subvención'!#REF!</f>
        <v>#REF!</v>
      </c>
      <c r="AA22" s="66" t="e">
        <f>+IF(Z22="A1",1,IF(Z22="A2",0.8,IF(Z22="B1",0.6,IF(Z22="B2",0.4,0.2))))</f>
        <v>#REF!</v>
      </c>
      <c r="AB22" s="66" t="e">
        <f>IF($AA22&gt;AB$19,IF($AA22&lt;=AB$20,$AA22,NA()),NA())</f>
        <v>#REF!</v>
      </c>
      <c r="AC22" s="66" t="e">
        <f t="shared" ref="AC22:AF24" si="2">IF($AA22&gt;AC$19,IF($AA22&lt;=AC$20,$AA22,NA()),NA())</f>
        <v>#REF!</v>
      </c>
      <c r="AD22" s="66" t="e">
        <f t="shared" si="2"/>
        <v>#REF!</v>
      </c>
      <c r="AE22" s="66" t="e">
        <f t="shared" si="2"/>
        <v>#REF!</v>
      </c>
      <c r="AF22" s="66" t="e">
        <f t="shared" si="2"/>
        <v>#REF!</v>
      </c>
      <c r="AG22" s="70"/>
      <c r="AH22" s="70"/>
      <c r="AI22" s="70"/>
    </row>
    <row r="23" spans="1:35" ht="24" customHeight="1">
      <c r="A23" s="3"/>
      <c r="B23" s="772" t="str">
        <f>+'Introducción de datos'!B124</f>
        <v>Porcentaje de casos de TB nuevos y recaídas VIH+ en TARV durante el tratamiento para la tuberculosis</v>
      </c>
      <c r="C23" s="773"/>
      <c r="D23" s="774"/>
      <c r="E23" s="125">
        <f ca="1">OFFSET('Introducción de datos'!$G$117,7,RIGHT('Introducción de datos'!$C$16,LEN('Introducción de datos'!$C$16)-1),1,1)</f>
        <v>0</v>
      </c>
      <c r="F23" s="125">
        <f ca="1">OFFSET('Introducción de datos'!$G$117,8,RIGHT('Introducción de datos'!$C$16,LEN('Introducción de datos'!$C$16)-1),1,1)</f>
        <v>264</v>
      </c>
      <c r="G23" s="761">
        <f t="shared" ca="1" si="0"/>
        <v>0</v>
      </c>
      <c r="H23" s="762"/>
      <c r="I23" s="762"/>
      <c r="J23" s="762"/>
      <c r="K23" s="763"/>
      <c r="L23" s="760" t="s">
        <v>356</v>
      </c>
      <c r="M23" s="760"/>
      <c r="N23" s="760"/>
      <c r="O23" s="760"/>
      <c r="P23" s="760"/>
      <c r="Q23" s="760"/>
      <c r="S23" s="68"/>
      <c r="T23" s="66" t="e">
        <f t="shared" si="1"/>
        <v>#N/A</v>
      </c>
      <c r="U23" s="66" t="e">
        <f t="shared" si="1"/>
        <v>#N/A</v>
      </c>
      <c r="V23" s="66" t="e">
        <f t="shared" si="1"/>
        <v>#N/A</v>
      </c>
      <c r="W23" s="66" t="e">
        <f t="shared" si="1"/>
        <v>#N/A</v>
      </c>
      <c r="X23" s="66" t="e">
        <f>IF($K21&gt;X$19,IF($K21&lt;=X$20,1,1),NA())</f>
        <v>#N/A</v>
      </c>
      <c r="Y23" s="70"/>
      <c r="Z23" s="177" t="e">
        <f>+'Información de la subvención'!#REF!</f>
        <v>#REF!</v>
      </c>
      <c r="AA23" s="66" t="e">
        <f>+IF(Z23="A1",1,IF(Z23="A2",0.8,IF(Z23="B1",0.6,IF(Z23="B2",0.4,0.2))))</f>
        <v>#REF!</v>
      </c>
      <c r="AB23" s="66" t="e">
        <f>IF($AA23&gt;AB$19,IF($AA23&lt;=AB$20,$AA23,NA()),NA())</f>
        <v>#REF!</v>
      </c>
      <c r="AC23" s="66" t="e">
        <f t="shared" si="2"/>
        <v>#REF!</v>
      </c>
      <c r="AD23" s="66" t="e">
        <f t="shared" si="2"/>
        <v>#REF!</v>
      </c>
      <c r="AE23" s="66" t="e">
        <f t="shared" si="2"/>
        <v>#REF!</v>
      </c>
      <c r="AF23" s="66" t="e">
        <f t="shared" si="2"/>
        <v>#REF!</v>
      </c>
      <c r="AG23" s="70"/>
      <c r="AH23" s="70"/>
      <c r="AI23" s="70"/>
    </row>
    <row r="24" spans="1:35" ht="24" customHeight="1">
      <c r="A24" s="3"/>
      <c r="B24" s="770" t="str">
        <f>+'Introducción de datos'!B126</f>
        <v>Porcentaje de nuevas personas diagnosticadas con VIH que son vinculadas a la atención (vinculación individual)</v>
      </c>
      <c r="C24" s="770"/>
      <c r="D24" s="770"/>
      <c r="E24" s="125">
        <f ca="1">OFFSET('Introducción de datos'!$G$117,9,RIGHT('Introducción de datos'!$C$16,LEN('Introducción de datos'!$C$16)-1),1,1)</f>
        <v>0</v>
      </c>
      <c r="F24" s="125">
        <f ca="1">OFFSET('Introducción de datos'!$G$117,10,RIGHT('Introducción de datos'!$C$16,LEN('Introducción de datos'!$C$16)-1),1,1)</f>
        <v>8995</v>
      </c>
      <c r="G24" s="761">
        <f t="shared" ca="1" si="0"/>
        <v>0</v>
      </c>
      <c r="H24" s="762"/>
      <c r="I24" s="762"/>
      <c r="J24" s="762"/>
      <c r="K24" s="763"/>
      <c r="L24" s="760" t="s">
        <v>357</v>
      </c>
      <c r="M24" s="760"/>
      <c r="N24" s="760"/>
      <c r="O24" s="760"/>
      <c r="P24" s="760"/>
      <c r="Q24" s="760"/>
      <c r="S24" s="68"/>
      <c r="T24" s="66" t="e">
        <f t="shared" si="1"/>
        <v>#N/A</v>
      </c>
      <c r="U24" s="66" t="e">
        <f t="shared" si="1"/>
        <v>#N/A</v>
      </c>
      <c r="V24" s="66" t="e">
        <f t="shared" si="1"/>
        <v>#N/A</v>
      </c>
      <c r="W24" s="66" t="e">
        <f t="shared" si="1"/>
        <v>#N/A</v>
      </c>
      <c r="X24" s="66" t="e">
        <f t="shared" ref="X24:X33" si="3">IF($K22&gt;X$19,IF($K22&lt;=X$20,1,NA()),NA())</f>
        <v>#N/A</v>
      </c>
      <c r="Y24" s="70"/>
      <c r="Z24" s="177" t="e">
        <f>+'Información de la subvención'!#REF!</f>
        <v>#REF!</v>
      </c>
      <c r="AA24" s="66" t="e">
        <f>+IF(Z24="A1",1,IF(Z24="A2",0.8,IF(Z24="B1",0.6,IF(Z24="B2",0.4,0.2))))</f>
        <v>#REF!</v>
      </c>
      <c r="AB24" s="66" t="e">
        <f>IF($AA24&gt;AB$19,IF($AA24&lt;=AB$20,$AA24,NA()),NA())</f>
        <v>#REF!</v>
      </c>
      <c r="AC24" s="66" t="e">
        <f t="shared" si="2"/>
        <v>#REF!</v>
      </c>
      <c r="AD24" s="66" t="e">
        <f t="shared" si="2"/>
        <v>#REF!</v>
      </c>
      <c r="AE24" s="66" t="e">
        <f t="shared" si="2"/>
        <v>#REF!</v>
      </c>
      <c r="AF24" s="66" t="e">
        <f t="shared" si="2"/>
        <v>#REF!</v>
      </c>
      <c r="AG24" s="70"/>
      <c r="AH24" s="70"/>
      <c r="AI24" s="70"/>
    </row>
    <row r="25" spans="1:35" ht="24" customHeight="1">
      <c r="A25" s="3"/>
      <c r="B25" s="770" t="str">
        <f>+'Introducción de datos'!B128</f>
        <v>Porcentaje de HSH y MT que se han sometido a pruebas de VIH durante el período de informe y conocen los resultados en las BMU por regiones</v>
      </c>
      <c r="C25" s="770"/>
      <c r="D25" s="770"/>
      <c r="E25" s="125">
        <f ca="1">OFFSET('Introducción de datos'!$G$117,11,RIGHT('Introducción de datos'!$C$16,LEN('Introducción de datos'!$C$16)-1),1,1)</f>
        <v>0</v>
      </c>
      <c r="F25" s="125">
        <f ca="1">OFFSET('Introducción de datos'!$G$117,12,RIGHT('Introducción de datos'!$C$16,LEN('Introducción de datos'!$C$16)-1),1,1)</f>
        <v>2977</v>
      </c>
      <c r="G25" s="761">
        <f t="shared" ca="1" si="0"/>
        <v>0</v>
      </c>
      <c r="H25" s="762"/>
      <c r="I25" s="762"/>
      <c r="J25" s="762"/>
      <c r="K25" s="763"/>
      <c r="L25" s="760" t="s">
        <v>351</v>
      </c>
      <c r="M25" s="760"/>
      <c r="N25" s="760"/>
      <c r="O25" s="760"/>
      <c r="P25" s="760"/>
      <c r="Q25" s="760"/>
      <c r="S25" s="68"/>
      <c r="T25" s="66" t="e">
        <f t="shared" si="1"/>
        <v>#N/A</v>
      </c>
      <c r="U25" s="66" t="e">
        <f t="shared" si="1"/>
        <v>#N/A</v>
      </c>
      <c r="V25" s="66" t="e">
        <f t="shared" si="1"/>
        <v>#N/A</v>
      </c>
      <c r="W25" s="66" t="e">
        <f t="shared" si="1"/>
        <v>#N/A</v>
      </c>
      <c r="X25" s="66" t="e">
        <f t="shared" si="3"/>
        <v>#N/A</v>
      </c>
      <c r="Y25" s="70"/>
      <c r="Z25" s="70"/>
      <c r="AA25" s="70"/>
      <c r="AB25" s="70"/>
      <c r="AC25" s="70"/>
      <c r="AD25" s="70"/>
      <c r="AE25" s="70"/>
      <c r="AF25" s="70"/>
      <c r="AG25" s="70"/>
      <c r="AH25" s="70"/>
      <c r="AI25" s="70"/>
    </row>
    <row r="26" spans="1:35" ht="24" customHeight="1">
      <c r="A26" s="3"/>
      <c r="B26" s="770" t="str">
        <f>+'Introducción de datos'!B130</f>
        <v>Porcentaje de PVV que reciben TPTB</v>
      </c>
      <c r="C26" s="770"/>
      <c r="D26" s="770"/>
      <c r="E26" s="125">
        <f ca="1">OFFSET('Introducción de datos'!$G$117,13,RIGHT('Introducción de datos'!$C$16,LEN('Introducción de datos'!$C$16)-1),1,1)</f>
        <v>0</v>
      </c>
      <c r="F26" s="125">
        <f ca="1">OFFSET('Introducción de datos'!$G$117,14,RIGHT('Introducción de datos'!$C$16,LEN('Introducción de datos'!$C$16)-1),1,1)</f>
        <v>0</v>
      </c>
      <c r="G26" s="761">
        <f t="shared" ca="1" si="0"/>
        <v>0</v>
      </c>
      <c r="H26" s="762"/>
      <c r="I26" s="762"/>
      <c r="J26" s="762"/>
      <c r="K26" s="763"/>
      <c r="L26" s="760"/>
      <c r="M26" s="760"/>
      <c r="N26" s="760"/>
      <c r="O26" s="760"/>
      <c r="P26" s="760"/>
      <c r="Q26" s="760"/>
      <c r="S26" s="68"/>
      <c r="T26" s="66" t="e">
        <f t="shared" si="1"/>
        <v>#N/A</v>
      </c>
      <c r="U26" s="66" t="e">
        <f t="shared" si="1"/>
        <v>#N/A</v>
      </c>
      <c r="V26" s="66" t="e">
        <f t="shared" si="1"/>
        <v>#N/A</v>
      </c>
      <c r="W26" s="66" t="e">
        <f t="shared" si="1"/>
        <v>#N/A</v>
      </c>
      <c r="X26" s="66" t="e">
        <f t="shared" si="3"/>
        <v>#N/A</v>
      </c>
      <c r="Y26" s="70"/>
      <c r="Z26" s="70"/>
      <c r="AA26" s="70"/>
      <c r="AB26" s="70"/>
      <c r="AC26" s="70"/>
      <c r="AD26" s="70"/>
      <c r="AE26" s="70"/>
      <c r="AF26" s="70"/>
      <c r="AG26" s="70"/>
      <c r="AH26" s="70"/>
      <c r="AI26" s="70"/>
    </row>
    <row r="27" spans="1:35" ht="24" customHeight="1">
      <c r="A27" s="3"/>
      <c r="B27" s="770" t="str">
        <f>+'Introducción de datos'!B132</f>
        <v xml:space="preserve">Porcentaje de TB/VIH con éxito de tratamiento </v>
      </c>
      <c r="C27" s="770"/>
      <c r="D27" s="770"/>
      <c r="E27" s="125">
        <f ca="1">OFFSET('Introducción de datos'!$G$117,15,RIGHT('Introducción de datos'!$C$16,LEN('Introducción de datos'!$C$16)-1),1,1)</f>
        <v>0</v>
      </c>
      <c r="F27" s="125">
        <f ca="1">OFFSET('Introducción de datos'!$G$117,16,RIGHT('Introducción de datos'!$C$16,LEN('Introducción de datos'!$C$16)-1),1,1)</f>
        <v>0</v>
      </c>
      <c r="G27" s="761">
        <f t="shared" ca="1" si="0"/>
        <v>0</v>
      </c>
      <c r="H27" s="762"/>
      <c r="I27" s="762"/>
      <c r="J27" s="762"/>
      <c r="K27" s="763"/>
      <c r="L27" s="760"/>
      <c r="M27" s="760"/>
      <c r="N27" s="760"/>
      <c r="O27" s="760"/>
      <c r="P27" s="760"/>
      <c r="Q27" s="760"/>
      <c r="S27" s="68"/>
      <c r="T27" s="66" t="e">
        <f t="shared" si="1"/>
        <v>#N/A</v>
      </c>
      <c r="U27" s="66" t="e">
        <f t="shared" si="1"/>
        <v>#N/A</v>
      </c>
      <c r="V27" s="66" t="e">
        <f t="shared" si="1"/>
        <v>#N/A</v>
      </c>
      <c r="W27" s="66" t="e">
        <f t="shared" si="1"/>
        <v>#N/A</v>
      </c>
      <c r="X27" s="66" t="e">
        <f t="shared" si="3"/>
        <v>#N/A</v>
      </c>
      <c r="Y27" s="70"/>
      <c r="Z27" s="70"/>
      <c r="AA27" s="70"/>
      <c r="AB27" s="70"/>
      <c r="AC27" s="70"/>
      <c r="AD27" s="70"/>
      <c r="AE27" s="70"/>
      <c r="AF27" s="70"/>
      <c r="AG27" s="70"/>
      <c r="AH27" s="70"/>
      <c r="AI27" s="70"/>
    </row>
    <row r="28" spans="1:35" ht="24" customHeight="1">
      <c r="A28" s="3"/>
      <c r="B28" s="770" t="str">
        <f>+'Introducción de datos'!B134</f>
        <v>Porcentaje de HSH/MT tamizados por MCC según metas acordadas</v>
      </c>
      <c r="C28" s="770"/>
      <c r="D28" s="770"/>
      <c r="E28" s="125">
        <f ca="1">OFFSET('Introducción de datos'!$G$117,17,RIGHT('Introducción de datos'!$C$16,LEN('Introducción de datos'!$C$16)-1),1,1)</f>
        <v>0</v>
      </c>
      <c r="F28" s="125">
        <f ca="1">OFFSET('Introducción de datos'!$G$117,18,RIGHT('Introducción de datos'!$C$16,LEN('Introducción de datos'!$C$16)-1),1,1)</f>
        <v>2575</v>
      </c>
      <c r="G28" s="761">
        <f t="shared" ca="1" si="0"/>
        <v>0</v>
      </c>
      <c r="H28" s="762"/>
      <c r="I28" s="762"/>
      <c r="J28" s="762"/>
      <c r="K28" s="763"/>
      <c r="L28" s="760" t="s">
        <v>352</v>
      </c>
      <c r="M28" s="760"/>
      <c r="N28" s="760"/>
      <c r="O28" s="760"/>
      <c r="P28" s="760"/>
      <c r="Q28" s="760"/>
      <c r="S28" s="68"/>
      <c r="T28" s="66" t="e">
        <f t="shared" si="1"/>
        <v>#N/A</v>
      </c>
      <c r="U28" s="66" t="e">
        <f t="shared" si="1"/>
        <v>#N/A</v>
      </c>
      <c r="V28" s="66" t="e">
        <f t="shared" si="1"/>
        <v>#N/A</v>
      </c>
      <c r="W28" s="66" t="e">
        <f t="shared" si="1"/>
        <v>#N/A</v>
      </c>
      <c r="X28" s="66" t="e">
        <f t="shared" si="3"/>
        <v>#N/A</v>
      </c>
      <c r="Y28" s="70"/>
      <c r="Z28" s="70"/>
      <c r="AA28" s="70"/>
      <c r="AB28" s="70"/>
      <c r="AC28" s="70"/>
      <c r="AD28" s="70"/>
      <c r="AE28" s="70"/>
      <c r="AF28" s="70"/>
      <c r="AG28" s="70"/>
      <c r="AH28" s="70"/>
      <c r="AI28" s="70"/>
    </row>
    <row r="29" spans="1:35" ht="29.25" customHeight="1">
      <c r="A29" s="3"/>
      <c r="B29" s="772" t="str">
        <f>+'Introducción de datos'!B136</f>
        <v>Porcentaje de PVV que inicia TAR por MCC según metas acordadas</v>
      </c>
      <c r="C29" s="773"/>
      <c r="D29" s="774"/>
      <c r="E29" s="125">
        <f ca="1">OFFSET('Introducción de datos'!$G$117,19,RIGHT('Introducción de datos'!$C$16,LEN('Introducción de datos'!$C$16)-1),1,1)</f>
        <v>0</v>
      </c>
      <c r="F29" s="125">
        <f ca="1">OFFSET('Introducción de datos'!$G$117,20,RIGHT('Introducción de datos'!$C$16,LEN('Introducción de datos'!$C$16)-1),1,1)</f>
        <v>59</v>
      </c>
      <c r="G29" s="761">
        <f t="shared" ca="1" si="0"/>
        <v>0</v>
      </c>
      <c r="H29" s="762"/>
      <c r="I29" s="762"/>
      <c r="J29" s="762"/>
      <c r="K29" s="763"/>
      <c r="L29" s="760" t="s">
        <v>352</v>
      </c>
      <c r="M29" s="760"/>
      <c r="N29" s="760"/>
      <c r="O29" s="760"/>
      <c r="P29" s="760"/>
      <c r="Q29" s="760"/>
      <c r="S29" s="68"/>
      <c r="T29" s="66" t="e">
        <f t="shared" si="1"/>
        <v>#N/A</v>
      </c>
      <c r="U29" s="66" t="e">
        <f t="shared" si="1"/>
        <v>#N/A</v>
      </c>
      <c r="V29" s="66" t="e">
        <f t="shared" si="1"/>
        <v>#N/A</v>
      </c>
      <c r="W29" s="66" t="e">
        <f t="shared" si="1"/>
        <v>#N/A</v>
      </c>
      <c r="X29" s="66" t="e">
        <f t="shared" si="3"/>
        <v>#N/A</v>
      </c>
      <c r="Y29" s="70"/>
      <c r="Z29" s="70"/>
      <c r="AA29" s="70"/>
      <c r="AB29" s="70"/>
      <c r="AC29" s="70"/>
      <c r="AD29" s="70"/>
      <c r="AE29" s="70"/>
      <c r="AF29" s="70"/>
      <c r="AG29" s="70"/>
      <c r="AH29" s="70"/>
      <c r="AI29" s="70"/>
    </row>
    <row r="30" spans="1:35" ht="22.5" customHeight="1">
      <c r="A30" s="3"/>
      <c r="B30" s="781"/>
      <c r="C30" s="781"/>
      <c r="D30" s="781"/>
      <c r="E30" s="781"/>
      <c r="F30" s="780"/>
      <c r="G30" s="780"/>
      <c r="H30" s="780"/>
      <c r="I30" s="780"/>
      <c r="J30" s="780"/>
      <c r="K30" s="780"/>
      <c r="L30" s="777"/>
      <c r="M30" s="777"/>
      <c r="N30" s="777"/>
      <c r="O30" s="777"/>
      <c r="P30" s="777"/>
      <c r="S30" s="68"/>
      <c r="T30" s="66" t="e">
        <f t="shared" si="1"/>
        <v>#N/A</v>
      </c>
      <c r="U30" s="66" t="e">
        <f t="shared" si="1"/>
        <v>#N/A</v>
      </c>
      <c r="V30" s="66" t="e">
        <f t="shared" si="1"/>
        <v>#N/A</v>
      </c>
      <c r="W30" s="66" t="e">
        <f t="shared" si="1"/>
        <v>#N/A</v>
      </c>
      <c r="X30" s="66" t="e">
        <f t="shared" si="3"/>
        <v>#N/A</v>
      </c>
      <c r="Y30" s="70"/>
      <c r="Z30" s="70"/>
      <c r="AA30" s="70"/>
      <c r="AB30" s="70"/>
      <c r="AC30" s="70"/>
      <c r="AD30" s="70"/>
      <c r="AE30" s="70"/>
      <c r="AF30" s="70"/>
      <c r="AG30" s="70"/>
      <c r="AH30" s="70"/>
      <c r="AI30" s="70"/>
    </row>
    <row r="31" spans="1:35" ht="22.5" customHeight="1">
      <c r="A31" s="3"/>
      <c r="B31" s="778"/>
      <c r="C31" s="778"/>
      <c r="D31" s="778"/>
      <c r="E31" s="779"/>
      <c r="F31" s="775"/>
      <c r="G31" s="776"/>
      <c r="H31" s="776"/>
      <c r="I31" s="776"/>
      <c r="J31" s="776"/>
      <c r="K31" s="779"/>
      <c r="L31" s="775"/>
      <c r="M31" s="776"/>
      <c r="N31" s="776"/>
      <c r="O31" s="776"/>
      <c r="P31" s="776"/>
      <c r="S31" s="68"/>
      <c r="T31" s="66" t="e">
        <f t="shared" si="1"/>
        <v>#N/A</v>
      </c>
      <c r="U31" s="66" t="e">
        <f t="shared" si="1"/>
        <v>#N/A</v>
      </c>
      <c r="V31" s="66" t="e">
        <f t="shared" si="1"/>
        <v>#N/A</v>
      </c>
      <c r="W31" s="66" t="e">
        <f t="shared" si="1"/>
        <v>#N/A</v>
      </c>
      <c r="X31" s="66" t="e">
        <f t="shared" si="3"/>
        <v>#N/A</v>
      </c>
      <c r="Y31" s="70"/>
      <c r="Z31" s="70"/>
      <c r="AA31" s="70"/>
      <c r="AB31" s="70"/>
      <c r="AC31" s="70"/>
      <c r="AD31" s="70"/>
      <c r="AE31" s="70"/>
      <c r="AF31" s="70"/>
      <c r="AG31" s="70"/>
      <c r="AH31" s="70"/>
      <c r="AI31" s="70"/>
    </row>
    <row r="32" spans="1:35">
      <c r="A32" s="3"/>
      <c r="B32" s="204"/>
      <c r="C32" s="204"/>
      <c r="D32" s="204"/>
      <c r="E32" s="204"/>
      <c r="F32" s="204"/>
      <c r="G32" s="204"/>
      <c r="H32" s="205"/>
      <c r="I32" s="204"/>
      <c r="J32" s="204"/>
      <c r="K32" s="204"/>
      <c r="L32" s="204"/>
      <c r="M32" s="204"/>
      <c r="N32" s="204"/>
      <c r="O32" s="204"/>
      <c r="P32" s="204"/>
      <c r="S32" s="68"/>
      <c r="T32" s="66" t="e">
        <f t="shared" si="1"/>
        <v>#N/A</v>
      </c>
      <c r="U32" s="66" t="e">
        <f t="shared" si="1"/>
        <v>#N/A</v>
      </c>
      <c r="V32" s="66" t="e">
        <f t="shared" si="1"/>
        <v>#N/A</v>
      </c>
      <c r="W32" s="66" t="e">
        <f t="shared" si="1"/>
        <v>#N/A</v>
      </c>
      <c r="X32" s="66" t="e">
        <f t="shared" si="3"/>
        <v>#N/A</v>
      </c>
      <c r="Y32" s="70"/>
      <c r="Z32" s="70"/>
      <c r="AA32" s="70"/>
      <c r="AB32" s="70"/>
      <c r="AC32" s="70"/>
      <c r="AD32" s="70"/>
      <c r="AE32" s="70"/>
      <c r="AF32" s="70"/>
      <c r="AG32" s="70"/>
      <c r="AH32" s="70"/>
      <c r="AI32" s="70"/>
    </row>
    <row r="33" spans="1:35">
      <c r="A33" s="3"/>
      <c r="B33" s="771"/>
      <c r="C33" s="771"/>
      <c r="D33" s="771"/>
      <c r="E33" s="771"/>
      <c r="F33" s="771"/>
      <c r="G33" s="771"/>
      <c r="H33" s="771"/>
      <c r="I33" s="771"/>
      <c r="J33" s="771"/>
      <c r="K33" s="771"/>
      <c r="L33" s="204"/>
      <c r="M33" s="204"/>
      <c r="N33" s="204"/>
      <c r="O33" s="204"/>
      <c r="P33" s="204"/>
      <c r="S33" s="68"/>
      <c r="T33" s="66" t="e">
        <f t="shared" si="1"/>
        <v>#N/A</v>
      </c>
      <c r="U33" s="66" t="e">
        <f t="shared" si="1"/>
        <v>#N/A</v>
      </c>
      <c r="V33" s="66" t="e">
        <f t="shared" si="1"/>
        <v>#N/A</v>
      </c>
      <c r="W33" s="66" t="e">
        <f t="shared" si="1"/>
        <v>#N/A</v>
      </c>
      <c r="X33" s="66" t="e">
        <f t="shared" si="3"/>
        <v>#N/A</v>
      </c>
      <c r="Y33" s="70"/>
      <c r="Z33" s="70"/>
      <c r="AA33" s="70"/>
      <c r="AB33" s="70"/>
      <c r="AC33" s="70"/>
      <c r="AD33" s="70"/>
      <c r="AE33" s="70"/>
      <c r="AF33" s="70"/>
      <c r="AG33" s="70"/>
      <c r="AH33" s="70"/>
      <c r="AI33" s="70"/>
    </row>
    <row r="34" spans="1:35">
      <c r="A34" s="3"/>
      <c r="B34" s="771"/>
      <c r="C34" s="771"/>
      <c r="D34" s="771"/>
      <c r="E34" s="771"/>
      <c r="F34" s="771"/>
      <c r="G34" s="771"/>
      <c r="H34" s="771"/>
      <c r="I34" s="771"/>
      <c r="J34" s="771"/>
      <c r="K34" s="771"/>
      <c r="L34" s="204"/>
      <c r="M34" s="204"/>
      <c r="N34" s="204"/>
      <c r="O34" s="204"/>
      <c r="P34" s="204"/>
      <c r="S34" s="70"/>
      <c r="T34" s="70"/>
      <c r="U34" s="70"/>
      <c r="V34" s="70"/>
      <c r="W34" s="70"/>
      <c r="X34" s="70"/>
      <c r="Y34" s="70"/>
      <c r="Z34" s="70"/>
      <c r="AA34" s="70"/>
      <c r="AB34" s="70"/>
      <c r="AC34" s="70"/>
      <c r="AD34" s="70"/>
      <c r="AE34" s="70"/>
      <c r="AF34" s="70"/>
      <c r="AG34" s="70"/>
      <c r="AH34" s="70"/>
      <c r="AI34" s="70"/>
    </row>
    <row r="35" spans="1:35">
      <c r="A35" s="3"/>
      <c r="B35" s="3"/>
      <c r="C35" s="3"/>
      <c r="D35" s="3"/>
      <c r="E35" s="3"/>
      <c r="F35" s="3"/>
      <c r="G35" s="3"/>
      <c r="H35" s="3"/>
      <c r="I35" s="93"/>
      <c r="J35" s="93"/>
      <c r="K35" s="93"/>
      <c r="L35" s="3"/>
      <c r="M35" s="3"/>
      <c r="N35" s="3"/>
      <c r="O35" s="3"/>
      <c r="P35" s="3"/>
      <c r="S35" s="70"/>
      <c r="T35" s="70"/>
      <c r="U35" s="70"/>
      <c r="V35" s="70"/>
      <c r="W35" s="70"/>
      <c r="X35" s="70"/>
      <c r="Y35" s="70"/>
      <c r="Z35" s="70"/>
      <c r="AA35" s="70"/>
      <c r="AB35" s="70"/>
      <c r="AC35" s="70"/>
      <c r="AD35" s="70"/>
      <c r="AE35" s="70"/>
      <c r="AF35" s="70"/>
      <c r="AG35" s="70"/>
      <c r="AH35" s="70"/>
      <c r="AI35" s="70"/>
    </row>
    <row r="36" spans="1:35">
      <c r="A36" s="3"/>
      <c r="B36" s="3"/>
      <c r="C36" s="3"/>
      <c r="D36" s="3"/>
      <c r="E36" s="3"/>
      <c r="F36" s="3"/>
      <c r="G36" s="3"/>
      <c r="H36" s="3"/>
      <c r="I36" s="126"/>
      <c r="J36" s="127"/>
      <c r="K36" s="127"/>
      <c r="L36" s="3"/>
      <c r="M36" s="3"/>
      <c r="N36" s="3"/>
      <c r="O36" s="3"/>
      <c r="P36" s="3"/>
      <c r="S36" s="70"/>
      <c r="T36" s="70"/>
      <c r="U36" s="70"/>
      <c r="V36" s="70"/>
      <c r="W36" s="70"/>
      <c r="X36" s="70"/>
      <c r="Y36" s="70"/>
      <c r="Z36" s="70"/>
      <c r="AA36" s="70"/>
      <c r="AB36" s="70"/>
      <c r="AC36" s="70"/>
      <c r="AD36" s="70"/>
      <c r="AE36" s="70"/>
      <c r="AF36" s="70"/>
      <c r="AG36" s="70"/>
      <c r="AH36" s="70"/>
      <c r="AI36" s="70"/>
    </row>
    <row r="37" spans="1:35">
      <c r="A37" s="3"/>
      <c r="B37" s="3"/>
      <c r="C37" s="3"/>
      <c r="D37" s="3"/>
      <c r="E37" s="3"/>
      <c r="F37" s="3"/>
      <c r="G37" s="3"/>
      <c r="H37" s="3"/>
      <c r="I37" s="128"/>
      <c r="J37" s="129"/>
      <c r="K37" s="95"/>
      <c r="L37" s="3"/>
      <c r="M37" s="3"/>
      <c r="N37" s="3"/>
      <c r="O37" s="3"/>
      <c r="P37" s="3"/>
      <c r="S37" s="70"/>
      <c r="T37" s="70"/>
      <c r="U37" s="70"/>
      <c r="V37" s="70"/>
      <c r="W37" s="70"/>
      <c r="X37" s="70"/>
      <c r="Y37" s="70"/>
      <c r="Z37" s="70"/>
      <c r="AA37" s="70"/>
      <c r="AB37" s="70"/>
      <c r="AC37" s="70"/>
      <c r="AD37" s="70"/>
      <c r="AE37" s="70"/>
      <c r="AF37" s="70"/>
      <c r="AG37" s="70"/>
      <c r="AH37" s="70"/>
      <c r="AI37" s="70"/>
    </row>
    <row r="38" spans="1:35">
      <c r="A38" s="3"/>
      <c r="B38" s="3"/>
      <c r="C38" s="3"/>
      <c r="D38" s="3"/>
      <c r="E38" s="3"/>
      <c r="F38" s="3"/>
      <c r="G38" s="3"/>
      <c r="H38" s="3"/>
      <c r="I38" s="130"/>
      <c r="J38" s="129"/>
      <c r="K38" s="95"/>
      <c r="L38" s="3"/>
      <c r="M38" s="3"/>
      <c r="N38" s="3"/>
      <c r="O38" s="3"/>
      <c r="P38" s="3"/>
      <c r="S38" s="70"/>
      <c r="T38" s="70"/>
      <c r="U38" s="70"/>
      <c r="V38" s="70"/>
      <c r="W38" s="70"/>
      <c r="X38" s="70"/>
      <c r="Y38" s="70"/>
      <c r="Z38" s="70"/>
      <c r="AA38" s="70"/>
      <c r="AB38" s="70"/>
      <c r="AC38" s="70"/>
      <c r="AD38" s="70"/>
      <c r="AE38" s="70"/>
      <c r="AF38" s="70"/>
      <c r="AG38" s="70"/>
      <c r="AH38" s="70"/>
      <c r="AI38" s="70"/>
    </row>
    <row r="39" spans="1:35">
      <c r="A39" s="3"/>
      <c r="B39" s="3"/>
      <c r="C39" s="3"/>
      <c r="D39" s="3"/>
      <c r="E39" s="3"/>
      <c r="F39" s="3"/>
      <c r="G39" s="3"/>
      <c r="H39" s="3"/>
      <c r="I39" s="128"/>
      <c r="J39" s="129"/>
      <c r="K39" s="95"/>
      <c r="L39" s="3"/>
      <c r="M39" s="3"/>
      <c r="N39" s="3"/>
      <c r="O39" s="3"/>
      <c r="P39" s="3"/>
      <c r="S39" s="70"/>
      <c r="T39" s="70"/>
      <c r="U39" s="70"/>
      <c r="V39" s="70"/>
      <c r="W39" s="70"/>
      <c r="X39" s="70"/>
      <c r="Y39" s="70"/>
      <c r="Z39" s="70"/>
      <c r="AA39" s="70"/>
      <c r="AB39" s="70"/>
      <c r="AC39" s="70"/>
      <c r="AD39" s="70"/>
      <c r="AE39" s="70"/>
      <c r="AF39" s="70"/>
      <c r="AG39" s="70"/>
      <c r="AH39" s="70"/>
      <c r="AI39" s="70"/>
    </row>
    <row r="40" spans="1:35">
      <c r="A40" s="3"/>
      <c r="B40" s="3"/>
      <c r="C40" s="3"/>
      <c r="D40" s="3"/>
      <c r="E40" s="3"/>
      <c r="F40" s="3"/>
      <c r="G40" s="3"/>
      <c r="H40" s="3"/>
      <c r="I40" s="3"/>
      <c r="J40" s="3"/>
      <c r="K40" s="3"/>
      <c r="L40" s="3"/>
      <c r="M40" s="3"/>
      <c r="N40" s="3"/>
      <c r="O40" s="3"/>
      <c r="P40" s="3"/>
      <c r="S40" s="70"/>
      <c r="T40" s="70"/>
      <c r="U40" s="70"/>
      <c r="V40" s="70"/>
      <c r="W40" s="70"/>
      <c r="X40" s="70"/>
      <c r="Y40" s="70"/>
      <c r="Z40" s="70"/>
      <c r="AA40" s="70"/>
      <c r="AB40" s="70"/>
      <c r="AC40" s="70"/>
      <c r="AD40" s="70"/>
      <c r="AE40" s="70"/>
      <c r="AF40" s="70"/>
      <c r="AG40" s="70"/>
      <c r="AH40" s="70"/>
      <c r="AI40" s="70"/>
    </row>
    <row r="41" spans="1:35">
      <c r="A41" s="3"/>
      <c r="B41" s="3"/>
      <c r="C41" s="3"/>
      <c r="D41" s="3"/>
      <c r="E41" s="3"/>
      <c r="F41" s="3"/>
      <c r="G41" s="3"/>
      <c r="H41" s="3"/>
      <c r="I41" s="3"/>
      <c r="J41" s="3"/>
      <c r="K41" s="3"/>
      <c r="L41" s="3"/>
      <c r="M41" s="3"/>
      <c r="N41" s="3"/>
      <c r="O41" s="3"/>
      <c r="P41" s="3"/>
      <c r="S41" s="70"/>
      <c r="T41" s="70"/>
      <c r="U41" s="70"/>
      <c r="V41" s="70"/>
      <c r="W41" s="70"/>
      <c r="X41" s="70"/>
      <c r="Y41" s="70"/>
      <c r="Z41" s="70"/>
      <c r="AA41" s="70"/>
      <c r="AB41" s="70"/>
      <c r="AC41" s="70"/>
      <c r="AD41" s="70"/>
      <c r="AE41" s="70"/>
      <c r="AF41" s="70"/>
      <c r="AG41" s="70"/>
      <c r="AH41" s="70"/>
      <c r="AI41" s="70"/>
    </row>
    <row r="42" spans="1:35">
      <c r="A42" s="3"/>
      <c r="B42" s="3"/>
      <c r="C42" s="3"/>
      <c r="D42" s="3"/>
      <c r="E42" s="3"/>
      <c r="F42" s="3"/>
      <c r="G42" s="3"/>
      <c r="H42" s="3"/>
      <c r="I42" s="3"/>
      <c r="J42" s="3"/>
      <c r="K42" s="3"/>
      <c r="L42" s="3"/>
      <c r="M42" s="3"/>
      <c r="N42" s="3"/>
      <c r="O42" s="3"/>
      <c r="P42" s="3"/>
      <c r="S42" s="63"/>
      <c r="T42" s="63"/>
      <c r="U42" s="63"/>
      <c r="V42" s="63"/>
      <c r="W42" s="63"/>
      <c r="X42" s="63"/>
      <c r="Y42" s="63"/>
      <c r="Z42" s="63"/>
      <c r="AA42" s="63"/>
      <c r="AB42" s="63"/>
    </row>
    <row r="43" spans="1:35">
      <c r="S43" s="63"/>
      <c r="T43" s="63"/>
      <c r="U43" s="63"/>
      <c r="V43" s="63"/>
      <c r="W43" s="63"/>
      <c r="X43" s="63"/>
      <c r="Y43" s="63"/>
      <c r="Z43" s="63"/>
      <c r="AA43" s="63"/>
      <c r="AB43" s="63"/>
    </row>
    <row r="44" spans="1:35">
      <c r="S44" s="63"/>
      <c r="T44" s="63"/>
      <c r="U44" s="63"/>
      <c r="V44" s="63"/>
      <c r="W44" s="63"/>
      <c r="X44" s="63"/>
      <c r="Y44" s="63"/>
      <c r="Z44" s="63"/>
      <c r="AA44" s="63"/>
      <c r="AB44" s="63"/>
    </row>
    <row r="45" spans="1:35">
      <c r="S45" s="63"/>
      <c r="T45" s="63"/>
      <c r="U45" s="63"/>
      <c r="V45" s="63"/>
      <c r="W45" s="63"/>
      <c r="X45" s="63"/>
      <c r="Y45" s="63"/>
      <c r="Z45" s="63"/>
      <c r="AA45" s="63"/>
      <c r="AB45" s="63"/>
    </row>
    <row r="46" spans="1:35">
      <c r="S46" s="63"/>
      <c r="T46" s="63"/>
      <c r="U46" s="63"/>
      <c r="V46" s="63"/>
      <c r="W46" s="63"/>
      <c r="X46" s="63"/>
      <c r="Y46" s="63"/>
      <c r="Z46" s="63"/>
      <c r="AA46" s="63"/>
      <c r="AB46" s="63"/>
    </row>
  </sheetData>
  <sheetProtection password="CFC9" sheet="1"/>
  <mergeCells count="58">
    <mergeCell ref="C9:E9"/>
    <mergeCell ref="G9:K9"/>
    <mergeCell ref="M9:Q9"/>
    <mergeCell ref="C3:D3"/>
    <mergeCell ref="E4:L4"/>
    <mergeCell ref="B8:E8"/>
    <mergeCell ref="F8:K8"/>
    <mergeCell ref="F31:K31"/>
    <mergeCell ref="B21:D21"/>
    <mergeCell ref="G28:K28"/>
    <mergeCell ref="G29:K29"/>
    <mergeCell ref="F30:K30"/>
    <mergeCell ref="B30:E30"/>
    <mergeCell ref="B27:D27"/>
    <mergeCell ref="B28:D28"/>
    <mergeCell ref="B29:D29"/>
    <mergeCell ref="B22:D22"/>
    <mergeCell ref="L31:P31"/>
    <mergeCell ref="L20:Q20"/>
    <mergeCell ref="L21:Q21"/>
    <mergeCell ref="L22:Q22"/>
    <mergeCell ref="L28:Q28"/>
    <mergeCell ref="L30:P30"/>
    <mergeCell ref="L23:Q23"/>
    <mergeCell ref="L24:Q24"/>
    <mergeCell ref="L29:Q2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19:Q19"/>
    <mergeCell ref="L25:Q25"/>
    <mergeCell ref="L26:Q26"/>
    <mergeCell ref="L27:Q27"/>
    <mergeCell ref="G20:K20"/>
    <mergeCell ref="G21:K21"/>
    <mergeCell ref="G22:K22"/>
    <mergeCell ref="G19:H19"/>
    <mergeCell ref="I19:J19"/>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alignWithMargins="0">
    <oddFooter>&amp;L&amp;F&amp;C&amp;A&amp;R&amp;D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sheetPr>
  <dimension ref="A1:O42"/>
  <sheetViews>
    <sheetView showGridLines="0" topLeftCell="A29" zoomScale="90" zoomScaleNormal="90" workbookViewId="0"/>
  </sheetViews>
  <sheetFormatPr baseColWidth="10" defaultColWidth="9.140625" defaultRowHeight="11.25"/>
  <cols>
    <col min="1" max="1" width="1.140625" style="31" customWidth="1"/>
    <col min="2" max="2" width="19.28515625" style="31" customWidth="1"/>
    <col min="3" max="3" width="1.140625" style="31" customWidth="1"/>
    <col min="4" max="4" width="17.140625" style="31" customWidth="1"/>
    <col min="5" max="5" width="17.5703125" style="31" customWidth="1"/>
    <col min="6" max="6" width="9.7109375" style="31" customWidth="1"/>
    <col min="7" max="7" width="13" style="31" customWidth="1"/>
    <col min="8" max="8" width="4.28515625" style="31" customWidth="1"/>
    <col min="9" max="9" width="15.85546875" style="31" customWidth="1"/>
    <col min="10" max="10" width="3.5703125" style="31" customWidth="1"/>
    <col min="11" max="11" width="7.5703125" style="32" customWidth="1"/>
    <col min="12" max="12" width="22" style="31" customWidth="1"/>
    <col min="13" max="13" width="12" style="31" customWidth="1"/>
    <col min="14" max="14" width="5.42578125" style="31" customWidth="1"/>
    <col min="15" max="15" width="2.5703125" style="31" customWidth="1"/>
    <col min="16" max="16384" width="9.140625" style="31"/>
  </cols>
  <sheetData>
    <row r="1" spans="1:15" ht="38.25" customHeight="1">
      <c r="A1" s="131"/>
      <c r="B1" s="131"/>
      <c r="C1" s="131"/>
      <c r="D1" s="131"/>
      <c r="E1" s="131"/>
      <c r="F1" s="131"/>
      <c r="G1" s="131"/>
      <c r="H1" s="131"/>
      <c r="I1" s="131"/>
      <c r="J1" s="131"/>
      <c r="K1" s="132"/>
      <c r="L1" s="131"/>
      <c r="M1" s="131"/>
      <c r="N1" s="131"/>
    </row>
    <row r="2" spans="1:15" customFormat="1" ht="27.75" customHeight="1">
      <c r="A2" s="3"/>
      <c r="B2" s="751" t="str">
        <f>+"Cuadro de mando:  "&amp;"  "&amp;+'Introducción de datos'!C4&amp;" - "&amp;'Introducción de datos'!G6</f>
        <v>Cuadro de mando:    Perú - VIH / SIDA</v>
      </c>
      <c r="C2" s="751"/>
      <c r="D2" s="751"/>
      <c r="E2" s="751"/>
      <c r="F2" s="751"/>
      <c r="G2" s="751"/>
      <c r="H2" s="751"/>
      <c r="I2" s="751"/>
      <c r="J2" s="751"/>
      <c r="K2" s="751"/>
      <c r="L2" s="751"/>
      <c r="M2" s="751"/>
      <c r="N2" s="751"/>
      <c r="O2" s="72"/>
    </row>
    <row r="3" spans="1:15" customFormat="1" ht="18.75">
      <c r="A3" s="3"/>
      <c r="B3" s="114" t="str">
        <f>+'Introducción de datos'!G8</f>
        <v>Seleccionar</v>
      </c>
      <c r="C3" s="722" t="str">
        <f>+'Introducción de datos'!I8</f>
        <v>Seleccionar</v>
      </c>
      <c r="D3" s="722"/>
      <c r="E3" s="755"/>
      <c r="F3" s="755"/>
      <c r="G3" s="755"/>
      <c r="H3" s="755"/>
      <c r="I3" s="755"/>
      <c r="J3" s="755"/>
      <c r="K3" s="755"/>
      <c r="L3" s="114" t="str">
        <f>+'Introducción de datos'!B16</f>
        <v>Periodo:</v>
      </c>
      <c r="M3" s="179" t="str">
        <f>+'Introducción de datos'!C16</f>
        <v>P4</v>
      </c>
      <c r="N3" s="179"/>
      <c r="O3" s="31"/>
    </row>
    <row r="4" spans="1:15" customFormat="1" ht="15">
      <c r="A4" s="3"/>
      <c r="B4" s="114" t="str">
        <f>+'Introducción de datos'!B12</f>
        <v>Ultima calificación:</v>
      </c>
      <c r="C4" s="756" t="str">
        <f>+'Introducción de datos'!C12</f>
        <v>Seleccionar</v>
      </c>
      <c r="D4" s="756"/>
      <c r="E4" s="721" t="str">
        <f>+'Introducción de datos'!C8</f>
        <v>CARE PERU</v>
      </c>
      <c r="F4" s="721"/>
      <c r="G4" s="721"/>
      <c r="H4" s="721"/>
      <c r="I4" s="721"/>
      <c r="J4" s="721"/>
      <c r="K4" s="721"/>
      <c r="L4" s="114" t="str">
        <f>+'Introducción de datos'!D16</f>
        <v>Desde:</v>
      </c>
      <c r="M4" s="180">
        <f>+'Introducción de datos'!E16</f>
        <v>43831</v>
      </c>
      <c r="N4" s="180"/>
      <c r="O4" s="31"/>
    </row>
    <row r="5" spans="1:15" customFormat="1" ht="18.75" customHeight="1">
      <c r="A5" s="3"/>
      <c r="B5" s="114"/>
      <c r="C5" s="114"/>
      <c r="D5" s="115"/>
      <c r="E5" s="721" t="str">
        <f>+'Introducción de datos'!G4</f>
        <v>Expansión de la Respuesta Nacional al VIH en poblaciones clave y vulnerables de ámbitos urbanos y amazónicos del Perú</v>
      </c>
      <c r="F5" s="721"/>
      <c r="G5" s="721"/>
      <c r="H5" s="721"/>
      <c r="I5" s="721"/>
      <c r="J5" s="721"/>
      <c r="K5" s="721"/>
      <c r="L5" s="114" t="str">
        <f>+'Introducción de datos'!F16</f>
        <v>Hasta:</v>
      </c>
      <c r="M5" s="180">
        <f>+'Introducción de datos'!G16</f>
        <v>44012</v>
      </c>
      <c r="N5" s="180"/>
    </row>
    <row r="6" spans="1:15" customFormat="1" ht="22.5" customHeight="1">
      <c r="A6" s="3"/>
      <c r="B6" s="119"/>
      <c r="C6" s="120"/>
      <c r="D6" s="121"/>
      <c r="E6" s="817" t="s">
        <v>90</v>
      </c>
      <c r="F6" s="818"/>
      <c r="G6" s="818"/>
      <c r="H6" s="818"/>
      <c r="I6" s="818"/>
      <c r="J6" s="818"/>
      <c r="K6" s="818"/>
      <c r="L6" s="2"/>
      <c r="M6" s="2"/>
      <c r="N6" s="2"/>
    </row>
    <row r="7" spans="1:15" s="33" customFormat="1" ht="4.5" customHeight="1">
      <c r="A7" s="133"/>
      <c r="B7" s="134"/>
      <c r="C7" s="134"/>
      <c r="D7" s="134"/>
      <c r="E7" s="134"/>
      <c r="F7" s="134"/>
      <c r="G7" s="134"/>
      <c r="H7" s="134"/>
      <c r="I7" s="134"/>
      <c r="J7" s="134"/>
      <c r="K7" s="134"/>
      <c r="L7" s="135"/>
      <c r="M7" s="135"/>
      <c r="N7" s="136"/>
    </row>
    <row r="8" spans="1:15" s="33" customFormat="1" ht="21" customHeight="1" thickBot="1">
      <c r="A8" s="133"/>
      <c r="B8" s="793" t="s">
        <v>283</v>
      </c>
      <c r="C8" s="794"/>
      <c r="D8" s="794"/>
      <c r="E8" s="794"/>
      <c r="F8" s="794"/>
      <c r="G8" s="794"/>
      <c r="H8" s="794"/>
      <c r="I8" s="794"/>
      <c r="J8" s="794"/>
      <c r="K8" s="794"/>
      <c r="L8" s="794"/>
      <c r="M8" s="794"/>
      <c r="N8" s="794"/>
    </row>
    <row r="9" spans="1:15" s="33" customFormat="1" ht="3.75" customHeight="1" thickBot="1">
      <c r="A9" s="133"/>
      <c r="B9" s="134"/>
      <c r="C9" s="134"/>
      <c r="D9" s="134"/>
      <c r="E9" s="134"/>
      <c r="F9" s="134"/>
      <c r="G9" s="134"/>
      <c r="H9" s="134"/>
      <c r="I9" s="134"/>
      <c r="J9" s="134"/>
      <c r="K9" s="134"/>
      <c r="L9" s="135"/>
      <c r="M9" s="135"/>
      <c r="N9" s="136"/>
    </row>
    <row r="10" spans="1:15" s="34" customFormat="1" ht="25.5" customHeight="1" thickBot="1">
      <c r="A10" s="137"/>
      <c r="B10" s="815" t="s">
        <v>207</v>
      </c>
      <c r="C10" s="816"/>
      <c r="D10" s="795" t="s">
        <v>91</v>
      </c>
      <c r="E10" s="796"/>
      <c r="F10" s="796"/>
      <c r="G10" s="797"/>
      <c r="H10" s="140"/>
      <c r="I10" s="795" t="s">
        <v>90</v>
      </c>
      <c r="J10" s="796"/>
      <c r="K10" s="796"/>
      <c r="L10" s="796"/>
      <c r="M10" s="796"/>
      <c r="N10" s="797"/>
    </row>
    <row r="11" spans="1:15" s="34" customFormat="1" ht="28.5" customHeight="1">
      <c r="A11" s="137"/>
      <c r="B11" s="441" t="s">
        <v>146</v>
      </c>
      <c r="C11" s="157"/>
      <c r="D11" s="821" t="str">
        <f>IF(ISBLANK(Financiamiento!C9),"",(Financiamiento!C9))</f>
        <v/>
      </c>
      <c r="E11" s="821"/>
      <c r="F11" s="821"/>
      <c r="G11" s="822"/>
      <c r="H11" s="163"/>
      <c r="I11" s="823"/>
      <c r="J11" s="824"/>
      <c r="K11" s="824"/>
      <c r="L11" s="824"/>
      <c r="M11" s="824"/>
      <c r="N11" s="825"/>
    </row>
    <row r="12" spans="1:15" s="34" customFormat="1" ht="27.75" customHeight="1">
      <c r="A12" s="137"/>
      <c r="B12" s="442" t="s">
        <v>147</v>
      </c>
      <c r="C12" s="158"/>
      <c r="D12" s="821" t="str">
        <f>IF(ISBLANK(Financiamiento!C23),"",(Financiamiento!C23))</f>
        <v/>
      </c>
      <c r="E12" s="821"/>
      <c r="F12" s="821"/>
      <c r="G12" s="822"/>
      <c r="H12" s="163"/>
      <c r="I12" s="809"/>
      <c r="J12" s="810"/>
      <c r="K12" s="810"/>
      <c r="L12" s="810"/>
      <c r="M12" s="810"/>
      <c r="N12" s="811"/>
    </row>
    <row r="13" spans="1:15" s="34" customFormat="1" ht="26.25" customHeight="1">
      <c r="A13" s="137"/>
      <c r="B13" s="442" t="s">
        <v>148</v>
      </c>
      <c r="C13" s="158"/>
      <c r="D13" s="821" t="str">
        <f>IF(ISBLANK(Financiamiento!I9),"",(Financiamiento!I9))</f>
        <v/>
      </c>
      <c r="E13" s="821"/>
      <c r="F13" s="821"/>
      <c r="G13" s="822"/>
      <c r="H13" s="163"/>
      <c r="I13" s="809"/>
      <c r="J13" s="810"/>
      <c r="K13" s="810"/>
      <c r="L13" s="810"/>
      <c r="M13" s="810"/>
      <c r="N13" s="811"/>
    </row>
    <row r="14" spans="1:15" s="34" customFormat="1" ht="28.5" customHeight="1" thickBot="1">
      <c r="A14" s="137"/>
      <c r="B14" s="443" t="s">
        <v>149</v>
      </c>
      <c r="C14" s="159"/>
      <c r="D14" s="819" t="str">
        <f>IF(ISBLANK(Financiamiento!I23),"",(Financiamiento!I23))</f>
        <v/>
      </c>
      <c r="E14" s="819"/>
      <c r="F14" s="819"/>
      <c r="G14" s="820"/>
      <c r="H14" s="163"/>
      <c r="I14" s="812"/>
      <c r="J14" s="813"/>
      <c r="K14" s="813"/>
      <c r="L14" s="813"/>
      <c r="M14" s="813"/>
      <c r="N14" s="814"/>
    </row>
    <row r="15" spans="1:15" s="34" customFormat="1" ht="4.5" customHeight="1">
      <c r="A15" s="137"/>
      <c r="B15" s="160"/>
      <c r="C15" s="161"/>
      <c r="D15" s="162"/>
      <c r="E15" s="162"/>
      <c r="F15" s="162"/>
      <c r="G15" s="162"/>
      <c r="H15" s="163"/>
      <c r="I15" s="164"/>
      <c r="J15" s="164"/>
      <c r="K15" s="164"/>
      <c r="L15" s="164"/>
      <c r="M15" s="164"/>
      <c r="N15" s="164"/>
      <c r="O15" s="74"/>
    </row>
    <row r="16" spans="1:15" s="33" customFormat="1" ht="21" customHeight="1" thickBot="1">
      <c r="A16" s="133"/>
      <c r="B16" s="793" t="s">
        <v>308</v>
      </c>
      <c r="C16" s="794"/>
      <c r="D16" s="794"/>
      <c r="E16" s="794"/>
      <c r="F16" s="794"/>
      <c r="G16" s="794"/>
      <c r="H16" s="794"/>
      <c r="I16" s="794"/>
      <c r="J16" s="794"/>
      <c r="K16" s="794"/>
      <c r="L16" s="794"/>
      <c r="M16" s="794"/>
      <c r="N16" s="794"/>
    </row>
    <row r="17" spans="1:15" s="34" customFormat="1" ht="3.75" customHeight="1" thickBot="1">
      <c r="A17" s="137"/>
      <c r="B17" s="146"/>
      <c r="C17" s="147"/>
      <c r="D17" s="148"/>
      <c r="E17" s="149"/>
      <c r="F17" s="150"/>
      <c r="G17" s="150"/>
      <c r="H17" s="151"/>
      <c r="I17" s="152"/>
      <c r="J17" s="153"/>
      <c r="K17" s="142"/>
      <c r="L17" s="143"/>
      <c r="M17" s="144"/>
      <c r="N17" s="145"/>
    </row>
    <row r="18" spans="1:15" s="34" customFormat="1" ht="22.5" customHeight="1" thickBot="1">
      <c r="A18" s="137"/>
      <c r="B18" s="807" t="s">
        <v>93</v>
      </c>
      <c r="C18" s="808"/>
      <c r="D18" s="830" t="s">
        <v>91</v>
      </c>
      <c r="E18" s="831"/>
      <c r="F18" s="831"/>
      <c r="G18" s="832"/>
      <c r="H18" s="140"/>
      <c r="I18" s="827" t="s">
        <v>90</v>
      </c>
      <c r="J18" s="828"/>
      <c r="K18" s="828"/>
      <c r="L18" s="828"/>
      <c r="M18" s="829"/>
      <c r="N18" s="829"/>
    </row>
    <row r="19" spans="1:15" s="34" customFormat="1" ht="21.95" customHeight="1">
      <c r="A19" s="137"/>
      <c r="B19" s="437" t="s">
        <v>154</v>
      </c>
      <c r="C19" s="165"/>
      <c r="D19" s="833" t="str">
        <f>IF(ISBLANK(Gestión!C8),"",(Gestión!C8))</f>
        <v/>
      </c>
      <c r="E19" s="833"/>
      <c r="F19" s="833"/>
      <c r="G19" s="834"/>
      <c r="H19" s="166"/>
      <c r="I19" s="798"/>
      <c r="J19" s="799"/>
      <c r="K19" s="799"/>
      <c r="L19" s="799"/>
      <c r="M19" s="799"/>
      <c r="N19" s="800"/>
    </row>
    <row r="20" spans="1:15" ht="24.75" customHeight="1">
      <c r="A20" s="131"/>
      <c r="B20" s="438" t="s">
        <v>155</v>
      </c>
      <c r="C20" s="167"/>
      <c r="D20" s="821" t="str">
        <f>IF(ISBLANK(Gestión!I8),"",(Gestión!I8))</f>
        <v/>
      </c>
      <c r="E20" s="821" t="e">
        <f>+'Introducción de datos'!D73/'Introducción de datos'!G73</f>
        <v>#DIV/0!</v>
      </c>
      <c r="F20" s="821" t="e">
        <f>+('Introducción de datos'!E73+'Introducción de datos'!F73)/'Introducción de datos'!G73</f>
        <v>#DIV/0!</v>
      </c>
      <c r="G20" s="826"/>
      <c r="H20" s="166"/>
      <c r="I20" s="804"/>
      <c r="J20" s="805"/>
      <c r="K20" s="805"/>
      <c r="L20" s="805"/>
      <c r="M20" s="805"/>
      <c r="N20" s="806"/>
      <c r="O20" s="35"/>
    </row>
    <row r="21" spans="1:15" ht="29.25" customHeight="1">
      <c r="A21" s="131"/>
      <c r="B21" s="439" t="s">
        <v>309</v>
      </c>
      <c r="C21" s="167"/>
      <c r="D21" s="821" t="str">
        <f>IF(ISBLANK(Gestión!C16),"",(Gestión!C16))</f>
        <v/>
      </c>
      <c r="E21" s="821"/>
      <c r="F21" s="821"/>
      <c r="G21" s="826"/>
      <c r="H21" s="166"/>
      <c r="I21" s="804"/>
      <c r="J21" s="805"/>
      <c r="K21" s="805"/>
      <c r="L21" s="805"/>
      <c r="M21" s="805"/>
      <c r="N21" s="806"/>
      <c r="O21" s="35"/>
    </row>
    <row r="22" spans="1:15" ht="26.25" customHeight="1">
      <c r="A22" s="131"/>
      <c r="B22" s="439" t="s">
        <v>310</v>
      </c>
      <c r="C22" s="167"/>
      <c r="D22" s="821" t="str">
        <f>IF(ISBLANK(Gestión!I16),"",(Gestión!I16))</f>
        <v/>
      </c>
      <c r="E22" s="821"/>
      <c r="F22" s="821"/>
      <c r="G22" s="826"/>
      <c r="H22" s="166"/>
      <c r="I22" s="804"/>
      <c r="J22" s="805"/>
      <c r="K22" s="805"/>
      <c r="L22" s="805"/>
      <c r="M22" s="805"/>
      <c r="N22" s="806"/>
      <c r="O22" s="35"/>
    </row>
    <row r="23" spans="1:15" ht="24.75" customHeight="1">
      <c r="A23" s="131"/>
      <c r="B23" s="439" t="s">
        <v>311</v>
      </c>
      <c r="C23" s="167"/>
      <c r="D23" s="821" t="str">
        <f>IF(ISBLANK(Gestión!C27),"",(Gestión!C27))</f>
        <v/>
      </c>
      <c r="E23" s="821"/>
      <c r="F23" s="821"/>
      <c r="G23" s="826"/>
      <c r="H23" s="166"/>
      <c r="I23" s="804"/>
      <c r="J23" s="805"/>
      <c r="K23" s="805"/>
      <c r="L23" s="805"/>
      <c r="M23" s="805"/>
      <c r="N23" s="806"/>
      <c r="O23" s="35"/>
    </row>
    <row r="24" spans="1:15" ht="27" customHeight="1" thickBot="1">
      <c r="A24" s="131"/>
      <c r="B24" s="440" t="s">
        <v>312</v>
      </c>
      <c r="C24" s="168"/>
      <c r="D24" s="839" t="str">
        <f>IF(ISBLANK(Gestión!I27),"",(Gestión!I27))</f>
        <v/>
      </c>
      <c r="E24" s="839"/>
      <c r="F24" s="839"/>
      <c r="G24" s="840"/>
      <c r="H24" s="166"/>
      <c r="I24" s="801"/>
      <c r="J24" s="802"/>
      <c r="K24" s="802"/>
      <c r="L24" s="802"/>
      <c r="M24" s="802"/>
      <c r="N24" s="803"/>
      <c r="O24" s="35"/>
    </row>
    <row r="25" spans="1:15" ht="4.5" customHeight="1">
      <c r="A25" s="133"/>
      <c r="B25" s="138"/>
      <c r="C25" s="139"/>
      <c r="D25" s="154"/>
      <c r="E25" s="155"/>
      <c r="F25" s="156"/>
      <c r="G25" s="156"/>
      <c r="H25" s="140"/>
      <c r="I25" s="155"/>
      <c r="J25" s="141"/>
      <c r="K25" s="142"/>
      <c r="L25" s="143"/>
      <c r="M25" s="144"/>
      <c r="N25" s="145"/>
      <c r="O25" s="35"/>
    </row>
    <row r="26" spans="1:15" s="33" customFormat="1" ht="21" customHeight="1" thickBot="1">
      <c r="A26" s="133"/>
      <c r="B26" s="793" t="s">
        <v>284</v>
      </c>
      <c r="C26" s="794"/>
      <c r="D26" s="794"/>
      <c r="E26" s="794"/>
      <c r="F26" s="794"/>
      <c r="G26" s="794"/>
      <c r="H26" s="794"/>
      <c r="I26" s="794"/>
      <c r="J26" s="794"/>
      <c r="K26" s="794"/>
      <c r="L26" s="794"/>
      <c r="M26" s="794"/>
      <c r="N26" s="794"/>
    </row>
    <row r="27" spans="1:15" ht="3.75" customHeight="1" thickBot="1">
      <c r="A27" s="133"/>
      <c r="B27" s="138"/>
      <c r="C27" s="139"/>
      <c r="D27" s="154"/>
      <c r="E27" s="155"/>
      <c r="F27" s="156"/>
      <c r="G27" s="156"/>
      <c r="H27" s="140"/>
      <c r="I27" s="155"/>
      <c r="J27" s="141"/>
      <c r="K27" s="142"/>
      <c r="L27" s="143"/>
      <c r="M27" s="144"/>
      <c r="N27" s="145"/>
      <c r="O27" s="35"/>
    </row>
    <row r="28" spans="1:15" ht="21.75" customHeight="1" thickBot="1">
      <c r="A28" s="131"/>
      <c r="B28" s="815" t="s">
        <v>214</v>
      </c>
      <c r="C28" s="808"/>
      <c r="D28" s="841" t="s">
        <v>91</v>
      </c>
      <c r="E28" s="842"/>
      <c r="F28" s="842"/>
      <c r="G28" s="843"/>
      <c r="H28" s="140"/>
      <c r="I28" s="841" t="s">
        <v>90</v>
      </c>
      <c r="J28" s="842"/>
      <c r="K28" s="842"/>
      <c r="L28" s="842"/>
      <c r="M28" s="842"/>
      <c r="N28" s="843"/>
      <c r="O28" s="35"/>
    </row>
    <row r="29" spans="1:15" ht="29.25" customHeight="1">
      <c r="A29" s="131"/>
      <c r="B29" s="434" t="s">
        <v>94</v>
      </c>
      <c r="C29" s="169"/>
      <c r="D29" s="844" t="str">
        <f>IF(ISBLANK(Programatico!C9),"",(Programatico!C9))</f>
        <v/>
      </c>
      <c r="E29" s="845"/>
      <c r="F29" s="845"/>
      <c r="G29" s="846"/>
      <c r="H29" s="166"/>
      <c r="I29" s="847"/>
      <c r="J29" s="848"/>
      <c r="K29" s="848"/>
      <c r="L29" s="848"/>
      <c r="M29" s="848"/>
      <c r="N29" s="849"/>
      <c r="O29" s="35"/>
    </row>
    <row r="30" spans="1:15" ht="21.95" customHeight="1">
      <c r="A30" s="131"/>
      <c r="B30" s="435" t="s">
        <v>95</v>
      </c>
      <c r="C30" s="170"/>
      <c r="D30" s="838" t="str">
        <f>IF(ISBLANK(Programatico!G9),"",(Programatico!G9))</f>
        <v/>
      </c>
      <c r="E30" s="836"/>
      <c r="F30" s="836"/>
      <c r="G30" s="837"/>
      <c r="H30" s="166"/>
      <c r="I30" s="787"/>
      <c r="J30" s="788"/>
      <c r="K30" s="788"/>
      <c r="L30" s="788"/>
      <c r="M30" s="788"/>
      <c r="N30" s="789"/>
      <c r="O30" s="35"/>
    </row>
    <row r="31" spans="1:15" ht="21.95" customHeight="1">
      <c r="A31" s="131"/>
      <c r="B31" s="435" t="s">
        <v>96</v>
      </c>
      <c r="C31" s="170"/>
      <c r="D31" s="838" t="str">
        <f>IF(ISBLANK(Programatico!M9),"",(Programatico!M9))</f>
        <v/>
      </c>
      <c r="E31" s="836"/>
      <c r="F31" s="836"/>
      <c r="G31" s="837"/>
      <c r="H31" s="166"/>
      <c r="I31" s="787"/>
      <c r="J31" s="788"/>
      <c r="K31" s="788"/>
      <c r="L31" s="788"/>
      <c r="M31" s="788"/>
      <c r="N31" s="789"/>
      <c r="O31" s="35"/>
    </row>
    <row r="32" spans="1:15" ht="21.95" customHeight="1">
      <c r="A32" s="131"/>
      <c r="B32" s="436" t="s">
        <v>150</v>
      </c>
      <c r="C32" s="170"/>
      <c r="D32" s="835" t="str">
        <f>IF(ISBLANK(Programatico!L20),"",(Programatico!L20))</f>
        <v xml:space="preserve">Meta anual (2020) programada: 30.5% (N: 78,544/D: 256,692) </v>
      </c>
      <c r="E32" s="836"/>
      <c r="F32" s="836"/>
      <c r="G32" s="837"/>
      <c r="H32" s="166"/>
      <c r="I32" s="787"/>
      <c r="J32" s="788"/>
      <c r="K32" s="788"/>
      <c r="L32" s="788"/>
      <c r="M32" s="788"/>
      <c r="N32" s="789"/>
      <c r="O32" s="35"/>
    </row>
    <row r="33" spans="1:15" ht="27" customHeight="1">
      <c r="A33" s="131"/>
      <c r="B33" s="436" t="s">
        <v>151</v>
      </c>
      <c r="C33" s="170"/>
      <c r="D33" s="835" t="str">
        <f>IF(ISBLANK(Programatico!L21),"",(Programatico!L21))</f>
        <v xml:space="preserve">Meta anual (2020) programada: 25.9 % (N:  8,979 /D: 34,558) </v>
      </c>
      <c r="E33" s="836"/>
      <c r="F33" s="836"/>
      <c r="G33" s="837"/>
      <c r="H33" s="166"/>
      <c r="I33" s="787"/>
      <c r="J33" s="788"/>
      <c r="K33" s="788"/>
      <c r="L33" s="788"/>
      <c r="M33" s="788"/>
      <c r="N33" s="789"/>
      <c r="O33" s="35"/>
    </row>
    <row r="34" spans="1:15" ht="21.95" customHeight="1">
      <c r="A34" s="131"/>
      <c r="B34" s="436" t="s">
        <v>152</v>
      </c>
      <c r="C34" s="170"/>
      <c r="D34" s="835" t="str">
        <f>IF(ISBLANK(Programatico!L22),"",(Programatico!L22))</f>
        <v xml:space="preserve">Meta anual (2020) programada: 81.7 % (N:  59,452 /D: 72,735) </v>
      </c>
      <c r="E34" s="836"/>
      <c r="F34" s="836"/>
      <c r="G34" s="837"/>
      <c r="H34" s="166"/>
      <c r="I34" s="787"/>
      <c r="J34" s="788"/>
      <c r="K34" s="788"/>
      <c r="L34" s="788"/>
      <c r="M34" s="788"/>
      <c r="N34" s="789"/>
      <c r="O34" s="35"/>
    </row>
    <row r="35" spans="1:15" ht="21.95" customHeight="1">
      <c r="A35" s="131"/>
      <c r="B35" s="436" t="s">
        <v>153</v>
      </c>
      <c r="C35" s="210"/>
      <c r="D35" s="835" t="str">
        <f>IF(ISBLANK(Programatico!L23),"",(Programatico!L23))</f>
        <v xml:space="preserve">Meta anual (2020) programada: 62.2 % (N:  1,183 /D: 1,900) </v>
      </c>
      <c r="E35" s="836"/>
      <c r="F35" s="836"/>
      <c r="G35" s="837"/>
      <c r="H35" s="166"/>
      <c r="I35" s="787"/>
      <c r="J35" s="788"/>
      <c r="K35" s="788"/>
      <c r="L35" s="788"/>
      <c r="M35" s="788"/>
      <c r="N35" s="789"/>
      <c r="O35" s="35"/>
    </row>
    <row r="36" spans="1:15" ht="21.95" customHeight="1">
      <c r="A36" s="131"/>
      <c r="B36" s="436" t="s">
        <v>156</v>
      </c>
      <c r="C36" s="210"/>
      <c r="D36" s="835" t="str">
        <f>IF(ISBLANK(Programatico!L24),"",(Programatico!L24))</f>
        <v xml:space="preserve">Meta anual (2020) programada: 84.2 % (N:  4,700 /D: 5,578) </v>
      </c>
      <c r="E36" s="836"/>
      <c r="F36" s="836"/>
      <c r="G36" s="837"/>
      <c r="H36" s="166"/>
      <c r="I36" s="787"/>
      <c r="J36" s="788"/>
      <c r="K36" s="788"/>
      <c r="L36" s="788"/>
      <c r="M36" s="788"/>
      <c r="N36" s="789"/>
      <c r="O36" s="35"/>
    </row>
    <row r="37" spans="1:15" ht="21.95" customHeight="1">
      <c r="A37" s="131"/>
      <c r="B37" s="436" t="s">
        <v>157</v>
      </c>
      <c r="C37" s="210"/>
      <c r="D37" s="835" t="str">
        <f>IF(ISBLANK(Programatico!L25),"",(Programatico!L25))</f>
        <v>El resultado alcanzado corresponde al registro extraído de la App Móvil BMU (2,695 HSH y 282 MT), para el semestre I-2020. Según listado innominado, se registran ingresos hasta quincena de marzo, coinicidiendo con el inicio del estado de inmovilización social decretado por el Estado a causa de la pandemia del COVID19.
En comparación con el semestre II-2019, la meta alcanzada representa el 42% de lo alcanzado en el mencionado periodo (6,225 HSH y 714 MT),  evidenciando el impacto de la restricciones de salidas de las BMU.</v>
      </c>
      <c r="E37" s="836"/>
      <c r="F37" s="836"/>
      <c r="G37" s="837"/>
      <c r="H37" s="166"/>
      <c r="I37" s="787"/>
      <c r="J37" s="788"/>
      <c r="K37" s="788"/>
      <c r="L37" s="788"/>
      <c r="M37" s="788"/>
      <c r="N37" s="789"/>
      <c r="O37" s="35"/>
    </row>
    <row r="38" spans="1:15" ht="21.95" customHeight="1">
      <c r="A38" s="131"/>
      <c r="B38" s="436" t="s">
        <v>158</v>
      </c>
      <c r="C38" s="210"/>
      <c r="D38" s="835" t="str">
        <f>IF(ISBLANK(Programatico!L26),"",(Programatico!L26))</f>
        <v/>
      </c>
      <c r="E38" s="836"/>
      <c r="F38" s="836"/>
      <c r="G38" s="837"/>
      <c r="H38" s="166"/>
      <c r="I38" s="787"/>
      <c r="J38" s="788"/>
      <c r="K38" s="788"/>
      <c r="L38" s="788"/>
      <c r="M38" s="788"/>
      <c r="N38" s="789"/>
      <c r="O38" s="35"/>
    </row>
    <row r="39" spans="1:15" ht="21.95" customHeight="1">
      <c r="A39" s="131"/>
      <c r="B39" s="436" t="s">
        <v>159</v>
      </c>
      <c r="C39" s="210"/>
      <c r="D39" s="835" t="str">
        <f>IF(ISBLANK(Programatico!L27),"",(Programatico!L27))</f>
        <v/>
      </c>
      <c r="E39" s="836"/>
      <c r="F39" s="836"/>
      <c r="G39" s="837"/>
      <c r="H39" s="166"/>
      <c r="I39" s="787"/>
      <c r="J39" s="788"/>
      <c r="K39" s="788"/>
      <c r="L39" s="788"/>
      <c r="M39" s="788"/>
      <c r="N39" s="789"/>
      <c r="O39" s="35"/>
    </row>
    <row r="40" spans="1:15" ht="21.95" customHeight="1">
      <c r="A40" s="131"/>
      <c r="B40" s="436" t="s">
        <v>160</v>
      </c>
      <c r="C40" s="210"/>
      <c r="D40" s="835" t="str">
        <f>IF(ISBLANK(Programatico!L28),"",(Programatico!L28))</f>
        <v>La meta para el tamizaje de MCC se estimó en 2,160 tamizajes en el primer trimestre 2020 (enero:35, febrero:50 y marzo:50); y 3 personas con inicio de TAR por cada MCC, siendo la meta para este periodo de 48 personas con inicio TAR (32 HSH y 16 MT); de abril en adelante, debido al estado de inmovilización por la pandemia del COVID 19, se plantearon metas acorde al trabajo remoto realizado por los MCC en consistencia con la imposibilidad de las salidas a campo, siendo estas actividades: capacitaciones remotas, refuerzo de la adherencia al tratamiento a través de medios virtuales y apoyo para el recojo de medicamentos.</v>
      </c>
      <c r="E40" s="836"/>
      <c r="F40" s="836"/>
      <c r="G40" s="837"/>
      <c r="H40" s="166"/>
      <c r="I40" s="787"/>
      <c r="J40" s="788"/>
      <c r="K40" s="788"/>
      <c r="L40" s="788"/>
      <c r="M40" s="788"/>
      <c r="N40" s="789"/>
      <c r="O40" s="35"/>
    </row>
    <row r="41" spans="1:15" ht="21.95" customHeight="1" thickBot="1">
      <c r="A41" s="131"/>
      <c r="B41" s="436" t="s">
        <v>161</v>
      </c>
      <c r="C41" s="171"/>
      <c r="D41" s="835" t="str">
        <f>IF(ISBLANK(Programatico!L29),"",(Programatico!L29))</f>
        <v>La meta para el tamizaje de MCC se estimó en 2,160 tamizajes en el primer trimestre 2020 (enero:35, febrero:50 y marzo:50); y 3 personas con inicio de TAR por cada MCC, siendo la meta para este periodo de 48 personas con inicio TAR (32 HSH y 16 MT); de abril en adelante, debido al estado de inmovilización por la pandemia del COVID 19, se plantearon metas acorde al trabajo remoto realizado por los MCC en consistencia con la imposibilidad de las salidas a campo, siendo estas actividades: capacitaciones remotas, refuerzo de la adherencia al tratamiento a través de medios virtuales y apoyo para el recojo de medicamentos.</v>
      </c>
      <c r="E41" s="836"/>
      <c r="F41" s="836"/>
      <c r="G41" s="837"/>
      <c r="H41" s="166"/>
      <c r="I41" s="790"/>
      <c r="J41" s="791"/>
      <c r="K41" s="791"/>
      <c r="L41" s="791"/>
      <c r="M41" s="791"/>
      <c r="N41" s="792"/>
      <c r="O41" s="35"/>
    </row>
    <row r="42" spans="1:15" ht="14.25">
      <c r="A42" s="131"/>
      <c r="B42" s="172"/>
      <c r="C42" s="172"/>
      <c r="D42" s="173"/>
      <c r="E42" s="131"/>
      <c r="F42" s="172"/>
      <c r="G42" s="172"/>
      <c r="H42" s="131"/>
      <c r="I42" s="174"/>
      <c r="J42" s="131"/>
      <c r="K42" s="175"/>
      <c r="L42" s="175"/>
      <c r="M42" s="175"/>
      <c r="N42" s="175"/>
      <c r="O42" s="35"/>
    </row>
  </sheetData>
  <sheetProtection password="CFC9" sheet="1"/>
  <mergeCells count="65">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 ref="D36:G36"/>
    <mergeCell ref="D30:G30"/>
    <mergeCell ref="D31:G31"/>
    <mergeCell ref="D24:G24"/>
    <mergeCell ref="D33:G3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B2:N2"/>
    <mergeCell ref="E5:K5"/>
    <mergeCell ref="E6:K6"/>
    <mergeCell ref="E3:K3"/>
    <mergeCell ref="C4:D4"/>
    <mergeCell ref="E4:K4"/>
    <mergeCell ref="C3:D3"/>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I40:N40"/>
    <mergeCell ref="I41:N41"/>
    <mergeCell ref="I35:N35"/>
    <mergeCell ref="I36:N36"/>
    <mergeCell ref="I37:N37"/>
    <mergeCell ref="I38:N38"/>
    <mergeCell ref="I39:N39"/>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r:id="rId1"/>
  <headerFooter alignWithMargins="0">
    <oddFooter>&amp;L&amp;F&amp;C&amp;A&amp;R&amp;D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sheetPr>
  <dimension ref="A1:M43"/>
  <sheetViews>
    <sheetView showGridLines="0" zoomScaleNormal="110" zoomScaleSheetLayoutView="100" workbookViewId="0"/>
  </sheetViews>
  <sheetFormatPr baseColWidth="10" defaultColWidth="9.140625"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740" t="str">
        <f>+"Cuadro de mando:  "&amp;"  "&amp;+'Introducción de datos'!C4&amp;" - "&amp;'Introducción de datos'!G6</f>
        <v>Cuadro de mando:    Perú - VIH / SIDA</v>
      </c>
      <c r="C2" s="740"/>
      <c r="D2" s="740"/>
      <c r="E2" s="740"/>
      <c r="F2" s="740"/>
      <c r="G2" s="740"/>
      <c r="H2" s="740"/>
      <c r="I2" s="740"/>
      <c r="J2" s="740"/>
      <c r="K2" s="740"/>
      <c r="L2" s="740"/>
    </row>
    <row r="3" spans="1:13">
      <c r="B3" s="24" t="str">
        <f>+'Introducción de datos'!G8</f>
        <v>Seleccionar</v>
      </c>
      <c r="C3" s="746" t="str">
        <f>+'Introducción de datos'!I8</f>
        <v>Seleccionar</v>
      </c>
      <c r="D3" s="746"/>
      <c r="E3" s="743"/>
      <c r="F3" s="743"/>
      <c r="G3" s="743"/>
      <c r="H3" s="743"/>
      <c r="I3" s="743"/>
      <c r="J3" s="744" t="str">
        <f>+'Introducción de datos'!B16</f>
        <v>Periodo:</v>
      </c>
      <c r="K3" s="744"/>
      <c r="L3" s="179" t="str">
        <f>+'Introducción de datos'!C16</f>
        <v>P4</v>
      </c>
      <c r="M3" s="82"/>
    </row>
    <row r="4" spans="1:13">
      <c r="B4" s="24" t="str">
        <f>+'Introducción de datos'!B12</f>
        <v>Ultima calificación:</v>
      </c>
      <c r="C4" s="891" t="str">
        <f>+'Introducción de datos'!C12</f>
        <v>Seleccionar</v>
      </c>
      <c r="D4" s="891"/>
      <c r="E4" s="743" t="str">
        <f>+'Introducción de datos'!C8</f>
        <v>CARE PERU</v>
      </c>
      <c r="F4" s="743"/>
      <c r="G4" s="743"/>
      <c r="H4" s="743"/>
      <c r="I4" s="743"/>
      <c r="J4" s="744" t="str">
        <f>+'Introducción de datos'!D16</f>
        <v>Desde:</v>
      </c>
      <c r="K4" s="750"/>
      <c r="L4" s="180">
        <f>+'Introducción de datos'!E16</f>
        <v>43831</v>
      </c>
    </row>
    <row r="5" spans="1:13" ht="18.75" customHeight="1">
      <c r="B5" s="24"/>
      <c r="C5" s="24"/>
      <c r="D5" s="743" t="str">
        <f>+'Introducción de datos'!G4</f>
        <v>Expansión de la Respuesta Nacional al VIH en poblaciones clave y vulnerables de ámbitos urbanos y amazónicos del Perú</v>
      </c>
      <c r="E5" s="743"/>
      <c r="F5" s="743"/>
      <c r="G5" s="743"/>
      <c r="H5" s="743"/>
      <c r="I5" s="743"/>
      <c r="J5" s="743"/>
      <c r="K5" s="24" t="str">
        <f>+'Introducción de datos'!F16</f>
        <v>Hasta:</v>
      </c>
      <c r="L5" s="180">
        <f>+'Introducción de datos'!G16</f>
        <v>44012</v>
      </c>
    </row>
    <row r="6" spans="1:13" ht="18.75">
      <c r="B6" s="23"/>
      <c r="C6" s="24"/>
      <c r="D6" s="25"/>
      <c r="E6" s="742" t="s">
        <v>243</v>
      </c>
      <c r="F6" s="742"/>
      <c r="G6" s="742"/>
      <c r="H6" s="742"/>
      <c r="I6" s="742"/>
    </row>
    <row r="7" spans="1:13" ht="18.75">
      <c r="E7" s="71"/>
      <c r="F7" s="71"/>
      <c r="G7" s="71"/>
      <c r="H7" s="71"/>
      <c r="I7" s="71"/>
    </row>
    <row r="8" spans="1:13" s="33" customFormat="1" ht="21" customHeight="1" thickBot="1">
      <c r="B8" s="428" t="s">
        <v>97</v>
      </c>
      <c r="C8" s="75"/>
      <c r="D8" s="75"/>
      <c r="E8" s="75"/>
      <c r="F8" s="75"/>
      <c r="G8" s="75"/>
      <c r="H8" s="75"/>
      <c r="I8" s="75"/>
      <c r="J8" s="75"/>
      <c r="K8" s="75"/>
      <c r="L8" s="75"/>
    </row>
    <row r="9" spans="1:13" ht="6" customHeight="1">
      <c r="B9" s="73"/>
    </row>
    <row r="10" spans="1:13">
      <c r="B10" s="893"/>
      <c r="C10" s="894"/>
      <c r="D10" s="894"/>
      <c r="E10" s="894"/>
      <c r="F10" s="894"/>
      <c r="G10" s="894"/>
      <c r="H10" s="894"/>
      <c r="I10" s="894"/>
      <c r="J10" s="894"/>
      <c r="K10" s="894"/>
      <c r="L10" s="895"/>
    </row>
    <row r="11" spans="1:13">
      <c r="B11" s="896"/>
      <c r="C11" s="897"/>
      <c r="D11" s="897"/>
      <c r="E11" s="897"/>
      <c r="F11" s="897"/>
      <c r="G11" s="897"/>
      <c r="H11" s="897"/>
      <c r="I11" s="897"/>
      <c r="J11" s="897"/>
      <c r="K11" s="897"/>
      <c r="L11" s="898"/>
    </row>
    <row r="12" spans="1:13" ht="15.75" thickBot="1"/>
    <row r="13" spans="1:13" ht="42" customHeight="1" thickBot="1">
      <c r="A13" s="371"/>
      <c r="B13" s="864" t="s">
        <v>314</v>
      </c>
      <c r="C13" s="865"/>
      <c r="D13" s="865"/>
      <c r="E13" s="866"/>
      <c r="F13" s="372"/>
      <c r="G13" s="858" t="s">
        <v>98</v>
      </c>
      <c r="H13" s="859"/>
      <c r="I13" s="859"/>
      <c r="J13" s="373" t="s">
        <v>285</v>
      </c>
      <c r="K13" s="859" t="s">
        <v>99</v>
      </c>
      <c r="L13" s="899"/>
    </row>
    <row r="14" spans="1:13">
      <c r="A14" s="860" t="s">
        <v>40</v>
      </c>
      <c r="B14" s="883"/>
      <c r="C14" s="883"/>
      <c r="D14" s="883"/>
      <c r="E14" s="884"/>
      <c r="F14" s="374"/>
      <c r="G14" s="890"/>
      <c r="H14" s="889"/>
      <c r="I14" s="889"/>
      <c r="J14" s="889"/>
      <c r="K14" s="889"/>
      <c r="L14" s="892"/>
    </row>
    <row r="15" spans="1:13">
      <c r="A15" s="861"/>
      <c r="B15" s="883"/>
      <c r="C15" s="883"/>
      <c r="D15" s="883"/>
      <c r="E15" s="884"/>
      <c r="F15" s="374"/>
      <c r="G15" s="863"/>
      <c r="H15" s="850"/>
      <c r="I15" s="850"/>
      <c r="J15" s="850"/>
      <c r="K15" s="850"/>
      <c r="L15" s="851"/>
    </row>
    <row r="16" spans="1:13">
      <c r="A16" s="861"/>
      <c r="B16" s="883"/>
      <c r="C16" s="883"/>
      <c r="D16" s="883"/>
      <c r="E16" s="884"/>
      <c r="F16" s="374"/>
      <c r="G16" s="863"/>
      <c r="H16" s="850"/>
      <c r="I16" s="850"/>
      <c r="J16" s="850"/>
      <c r="K16" s="850"/>
      <c r="L16" s="851"/>
    </row>
    <row r="17" spans="1:12">
      <c r="A17" s="861"/>
      <c r="B17" s="883"/>
      <c r="C17" s="883"/>
      <c r="D17" s="883"/>
      <c r="E17" s="884"/>
      <c r="F17" s="374"/>
      <c r="G17" s="863"/>
      <c r="H17" s="850"/>
      <c r="I17" s="850"/>
      <c r="J17" s="850"/>
      <c r="K17" s="850"/>
      <c r="L17" s="851"/>
    </row>
    <row r="18" spans="1:12">
      <c r="A18" s="861"/>
      <c r="B18" s="883"/>
      <c r="C18" s="883"/>
      <c r="D18" s="883"/>
      <c r="E18" s="884"/>
      <c r="F18" s="374"/>
      <c r="G18" s="852"/>
      <c r="H18" s="853"/>
      <c r="I18" s="854"/>
      <c r="J18" s="850"/>
      <c r="K18" s="850"/>
      <c r="L18" s="851"/>
    </row>
    <row r="19" spans="1:12" ht="30.75" customHeight="1">
      <c r="A19" s="861"/>
      <c r="B19" s="883"/>
      <c r="C19" s="883"/>
      <c r="D19" s="883"/>
      <c r="E19" s="884"/>
      <c r="F19" s="374"/>
      <c r="G19" s="855"/>
      <c r="H19" s="856"/>
      <c r="I19" s="857"/>
      <c r="J19" s="850"/>
      <c r="K19" s="850"/>
      <c r="L19" s="851"/>
    </row>
    <row r="20" spans="1:12">
      <c r="A20" s="861"/>
      <c r="B20" s="883"/>
      <c r="C20" s="883"/>
      <c r="D20" s="883"/>
      <c r="E20" s="884"/>
      <c r="F20" s="374"/>
      <c r="G20" s="863"/>
      <c r="H20" s="850"/>
      <c r="I20" s="850"/>
      <c r="J20" s="850"/>
      <c r="K20" s="850"/>
      <c r="L20" s="851"/>
    </row>
    <row r="21" spans="1:12">
      <c r="A21" s="861"/>
      <c r="B21" s="883"/>
      <c r="C21" s="883"/>
      <c r="D21" s="883"/>
      <c r="E21" s="884"/>
      <c r="F21" s="374"/>
      <c r="G21" s="863"/>
      <c r="H21" s="850"/>
      <c r="I21" s="850"/>
      <c r="J21" s="850"/>
      <c r="K21" s="850"/>
      <c r="L21" s="851"/>
    </row>
    <row r="22" spans="1:12">
      <c r="A22" s="861"/>
      <c r="B22" s="883"/>
      <c r="C22" s="883"/>
      <c r="D22" s="883"/>
      <c r="E22" s="884"/>
      <c r="F22" s="374"/>
      <c r="G22" s="863"/>
      <c r="H22" s="850"/>
      <c r="I22" s="850"/>
      <c r="J22" s="850"/>
      <c r="K22" s="850"/>
      <c r="L22" s="851"/>
    </row>
    <row r="23" spans="1:12">
      <c r="A23" s="861"/>
      <c r="B23" s="883"/>
      <c r="C23" s="883"/>
      <c r="D23" s="883"/>
      <c r="E23" s="884"/>
      <c r="F23" s="374"/>
      <c r="G23" s="863"/>
      <c r="H23" s="850"/>
      <c r="I23" s="850"/>
      <c r="J23" s="850"/>
      <c r="K23" s="850"/>
      <c r="L23" s="851"/>
    </row>
    <row r="24" spans="1:12">
      <c r="A24" s="861"/>
      <c r="B24" s="883"/>
      <c r="C24" s="883"/>
      <c r="D24" s="883"/>
      <c r="E24" s="884"/>
      <c r="F24" s="374"/>
      <c r="G24" s="863"/>
      <c r="H24" s="850"/>
      <c r="I24" s="850"/>
      <c r="J24" s="850"/>
      <c r="K24" s="850"/>
      <c r="L24" s="851"/>
    </row>
    <row r="25" spans="1:12" ht="15.75" thickBot="1">
      <c r="A25" s="862"/>
      <c r="B25" s="885"/>
      <c r="C25" s="885"/>
      <c r="D25" s="885"/>
      <c r="E25" s="886"/>
      <c r="F25" s="374"/>
      <c r="G25" s="867"/>
      <c r="H25" s="868"/>
      <c r="I25" s="868"/>
      <c r="J25" s="868"/>
      <c r="K25" s="868"/>
      <c r="L25" s="900"/>
    </row>
    <row r="26" spans="1:12">
      <c r="A26" s="371"/>
      <c r="B26" s="371"/>
      <c r="C26" s="371"/>
      <c r="D26" s="371"/>
      <c r="E26" s="371"/>
      <c r="F26" s="371"/>
      <c r="G26" s="371"/>
      <c r="H26" s="371"/>
      <c r="I26" s="371"/>
      <c r="J26" s="371"/>
      <c r="K26" s="371"/>
      <c r="L26" s="371"/>
    </row>
    <row r="27" spans="1:12" ht="18.75">
      <c r="A27" s="371"/>
      <c r="B27" s="371"/>
      <c r="C27" s="371"/>
      <c r="D27" s="371"/>
      <c r="E27" s="450" t="s">
        <v>315</v>
      </c>
      <c r="F27" s="451"/>
      <c r="G27" s="451"/>
      <c r="H27" s="451"/>
      <c r="I27" s="451"/>
      <c r="J27" s="371"/>
      <c r="K27" s="371"/>
      <c r="L27" s="371"/>
    </row>
    <row r="28" spans="1:12" ht="6" customHeight="1">
      <c r="A28" s="371"/>
      <c r="B28" s="371"/>
      <c r="C28" s="371"/>
      <c r="D28" s="371"/>
      <c r="E28" s="375"/>
      <c r="F28" s="375"/>
      <c r="G28" s="375"/>
      <c r="H28" s="375"/>
      <c r="I28" s="375"/>
      <c r="J28" s="371"/>
      <c r="K28" s="371"/>
      <c r="L28" s="371"/>
    </row>
    <row r="29" spans="1:12" s="33" customFormat="1" ht="21" customHeight="1" thickBot="1">
      <c r="A29" s="376"/>
      <c r="B29" s="428" t="s">
        <v>316</v>
      </c>
      <c r="C29" s="377"/>
      <c r="D29" s="377"/>
      <c r="E29" s="377"/>
      <c r="F29" s="377"/>
      <c r="G29" s="377"/>
      <c r="H29" s="377"/>
      <c r="I29" s="377"/>
      <c r="J29" s="377"/>
      <c r="K29" s="377"/>
      <c r="L29" s="377"/>
    </row>
    <row r="30" spans="1:12" ht="6" customHeight="1" thickBot="1">
      <c r="A30" s="371"/>
      <c r="B30" s="378"/>
      <c r="C30" s="371"/>
      <c r="D30" s="371"/>
      <c r="E30" s="371"/>
      <c r="F30" s="371"/>
      <c r="G30" s="371"/>
      <c r="H30" s="371"/>
      <c r="I30" s="371"/>
      <c r="J30" s="371"/>
      <c r="K30" s="371"/>
      <c r="L30" s="371"/>
    </row>
    <row r="31" spans="1:12" ht="45" customHeight="1" thickBot="1">
      <c r="A31" s="371"/>
      <c r="B31" s="864" t="s">
        <v>98</v>
      </c>
      <c r="C31" s="865"/>
      <c r="D31" s="865"/>
      <c r="E31" s="866"/>
      <c r="F31" s="372"/>
      <c r="G31" s="858" t="s">
        <v>286</v>
      </c>
      <c r="H31" s="859"/>
      <c r="I31" s="859"/>
      <c r="J31" s="373" t="s">
        <v>285</v>
      </c>
      <c r="K31" s="859" t="s">
        <v>99</v>
      </c>
      <c r="L31" s="899"/>
    </row>
    <row r="32" spans="1:12" ht="18.75" customHeight="1">
      <c r="A32" s="860" t="s">
        <v>100</v>
      </c>
      <c r="B32" s="871"/>
      <c r="C32" s="872"/>
      <c r="D32" s="872"/>
      <c r="E32" s="873"/>
      <c r="F32" s="374"/>
      <c r="G32" s="887"/>
      <c r="H32" s="888"/>
      <c r="I32" s="888"/>
      <c r="J32" s="888"/>
      <c r="K32" s="888"/>
      <c r="L32" s="903"/>
    </row>
    <row r="33" spans="1:12" ht="18.75" customHeight="1">
      <c r="A33" s="861"/>
      <c r="B33" s="855"/>
      <c r="C33" s="856"/>
      <c r="D33" s="856"/>
      <c r="E33" s="874"/>
      <c r="F33" s="374"/>
      <c r="G33" s="869"/>
      <c r="H33" s="870"/>
      <c r="I33" s="870"/>
      <c r="J33" s="870"/>
      <c r="K33" s="870"/>
      <c r="L33" s="901"/>
    </row>
    <row r="34" spans="1:12" ht="18.75" customHeight="1">
      <c r="A34" s="861"/>
      <c r="B34" s="875" t="str">
        <f>IF(Recomendaciones!I43="","",Recomendaciones!I43)</f>
        <v/>
      </c>
      <c r="C34" s="876"/>
      <c r="D34" s="876"/>
      <c r="E34" s="877"/>
      <c r="F34" s="374"/>
      <c r="G34" s="869"/>
      <c r="H34" s="870"/>
      <c r="I34" s="870"/>
      <c r="J34" s="870"/>
      <c r="K34" s="870"/>
      <c r="L34" s="901"/>
    </row>
    <row r="35" spans="1:12" ht="18.75" customHeight="1">
      <c r="A35" s="861"/>
      <c r="B35" s="875"/>
      <c r="C35" s="876"/>
      <c r="D35" s="876"/>
      <c r="E35" s="877"/>
      <c r="F35" s="374"/>
      <c r="G35" s="869"/>
      <c r="H35" s="870"/>
      <c r="I35" s="870"/>
      <c r="J35" s="870"/>
      <c r="K35" s="870"/>
      <c r="L35" s="901"/>
    </row>
    <row r="36" spans="1:12" ht="18.75" customHeight="1">
      <c r="A36" s="861"/>
      <c r="B36" s="875" t="str">
        <f>+IF(Recomendaciones!I53="","",Recomendaciones!I53)</f>
        <v/>
      </c>
      <c r="C36" s="876"/>
      <c r="D36" s="876"/>
      <c r="E36" s="877"/>
      <c r="F36" s="374"/>
      <c r="G36" s="869"/>
      <c r="H36" s="870"/>
      <c r="I36" s="870"/>
      <c r="J36" s="870"/>
      <c r="K36" s="870"/>
      <c r="L36" s="901"/>
    </row>
    <row r="37" spans="1:12" ht="18.75" customHeight="1">
      <c r="A37" s="861"/>
      <c r="B37" s="875"/>
      <c r="C37" s="876"/>
      <c r="D37" s="876"/>
      <c r="E37" s="877"/>
      <c r="F37" s="374"/>
      <c r="G37" s="869"/>
      <c r="H37" s="870"/>
      <c r="I37" s="870"/>
      <c r="J37" s="870"/>
      <c r="K37" s="870"/>
      <c r="L37" s="901"/>
    </row>
    <row r="38" spans="1:12" ht="18.75" customHeight="1">
      <c r="A38" s="861"/>
      <c r="B38" s="875"/>
      <c r="C38" s="876"/>
      <c r="D38" s="876"/>
      <c r="E38" s="877"/>
      <c r="F38" s="374"/>
      <c r="G38" s="869"/>
      <c r="H38" s="870"/>
      <c r="I38" s="870"/>
      <c r="J38" s="870"/>
      <c r="K38" s="870"/>
      <c r="L38" s="901"/>
    </row>
    <row r="39" spans="1:12" ht="18.75" customHeight="1">
      <c r="A39" s="861"/>
      <c r="B39" s="875"/>
      <c r="C39" s="876"/>
      <c r="D39" s="876"/>
      <c r="E39" s="877"/>
      <c r="F39" s="374"/>
      <c r="G39" s="869"/>
      <c r="H39" s="870"/>
      <c r="I39" s="870"/>
      <c r="J39" s="870"/>
      <c r="K39" s="870"/>
      <c r="L39" s="901"/>
    </row>
    <row r="40" spans="1:12" ht="18.75" customHeight="1">
      <c r="A40" s="861"/>
      <c r="B40" s="875"/>
      <c r="C40" s="876"/>
      <c r="D40" s="876"/>
      <c r="E40" s="877"/>
      <c r="F40" s="374"/>
      <c r="G40" s="869"/>
      <c r="H40" s="870"/>
      <c r="I40" s="870"/>
      <c r="J40" s="870"/>
      <c r="K40" s="870"/>
      <c r="L40" s="901"/>
    </row>
    <row r="41" spans="1:12" ht="18.75" customHeight="1">
      <c r="A41" s="861"/>
      <c r="B41" s="875"/>
      <c r="C41" s="876"/>
      <c r="D41" s="876"/>
      <c r="E41" s="877"/>
      <c r="F41" s="374"/>
      <c r="G41" s="869"/>
      <c r="H41" s="870"/>
      <c r="I41" s="870"/>
      <c r="J41" s="870"/>
      <c r="K41" s="870"/>
      <c r="L41" s="901"/>
    </row>
    <row r="42" spans="1:12" ht="18.75" customHeight="1">
      <c r="A42" s="861"/>
      <c r="B42" s="875"/>
      <c r="C42" s="876"/>
      <c r="D42" s="876"/>
      <c r="E42" s="877"/>
      <c r="F42" s="374"/>
      <c r="G42" s="869"/>
      <c r="H42" s="870"/>
      <c r="I42" s="870"/>
      <c r="J42" s="870"/>
      <c r="K42" s="870"/>
      <c r="L42" s="901"/>
    </row>
    <row r="43" spans="1:12" ht="18.75" customHeight="1" thickBot="1">
      <c r="A43" s="862"/>
      <c r="B43" s="878"/>
      <c r="C43" s="879"/>
      <c r="D43" s="879"/>
      <c r="E43" s="880"/>
      <c r="F43" s="374"/>
      <c r="G43" s="881"/>
      <c r="H43" s="882"/>
      <c r="I43" s="882"/>
      <c r="J43" s="882"/>
      <c r="K43" s="882"/>
      <c r="L43" s="902"/>
    </row>
  </sheetData>
  <sheetProtection password="CFC9" sheet="1"/>
  <mergeCells count="66">
    <mergeCell ref="K42:L43"/>
    <mergeCell ref="K36:L37"/>
    <mergeCell ref="K38:L39"/>
    <mergeCell ref="K32:L33"/>
    <mergeCell ref="J42:J43"/>
    <mergeCell ref="K24:L25"/>
    <mergeCell ref="K34:L35"/>
    <mergeCell ref="K40:L41"/>
    <mergeCell ref="B34:E35"/>
    <mergeCell ref="G34:I35"/>
    <mergeCell ref="J34:J35"/>
    <mergeCell ref="B36:E37"/>
    <mergeCell ref="G36:I37"/>
    <mergeCell ref="J36:J37"/>
    <mergeCell ref="G40:I41"/>
    <mergeCell ref="B38:E39"/>
    <mergeCell ref="B40:E41"/>
    <mergeCell ref="J32:J33"/>
    <mergeCell ref="J38:J39"/>
    <mergeCell ref="J40:J41"/>
    <mergeCell ref="K31:L31"/>
    <mergeCell ref="B2:L2"/>
    <mergeCell ref="C4:D4"/>
    <mergeCell ref="K14:L15"/>
    <mergeCell ref="K16:L17"/>
    <mergeCell ref="E3:I3"/>
    <mergeCell ref="J3:K3"/>
    <mergeCell ref="E4:I4"/>
    <mergeCell ref="J4:K4"/>
    <mergeCell ref="E6:I6"/>
    <mergeCell ref="C3:D3"/>
    <mergeCell ref="D5:J5"/>
    <mergeCell ref="B13:E13"/>
    <mergeCell ref="B10:L11"/>
    <mergeCell ref="K13:L13"/>
    <mergeCell ref="J24:J25"/>
    <mergeCell ref="B14:E15"/>
    <mergeCell ref="J22:J23"/>
    <mergeCell ref="G16:I17"/>
    <mergeCell ref="B18:E19"/>
    <mergeCell ref="B22:E23"/>
    <mergeCell ref="A32:A43"/>
    <mergeCell ref="G31:I31"/>
    <mergeCell ref="G20:I21"/>
    <mergeCell ref="G22:I23"/>
    <mergeCell ref="B31:E31"/>
    <mergeCell ref="G24:I25"/>
    <mergeCell ref="G38:I39"/>
    <mergeCell ref="B32:E33"/>
    <mergeCell ref="B42:E43"/>
    <mergeCell ref="G42:I43"/>
    <mergeCell ref="B24:E25"/>
    <mergeCell ref="G32:I33"/>
    <mergeCell ref="A14:A25"/>
    <mergeCell ref="B16:E17"/>
    <mergeCell ref="G14:I15"/>
    <mergeCell ref="B20:E21"/>
    <mergeCell ref="K18:L19"/>
    <mergeCell ref="G18:I19"/>
    <mergeCell ref="G13:I13"/>
    <mergeCell ref="K22:L23"/>
    <mergeCell ref="K20:L21"/>
    <mergeCell ref="J18:J19"/>
    <mergeCell ref="J16:J17"/>
    <mergeCell ref="J14:J15"/>
    <mergeCell ref="J20:J21"/>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r:id="rId1"/>
  <headerFooter alignWithMargins="0">
    <oddFooter>&amp;L&amp;F&amp;C&amp;A&amp;R&amp;D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r xmlns="f127e3a1-6a43-4b35-8211-dfdf2a8cacea" xsi:nil="true"/>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A33DEBF-5CA1-48F7-A029-41DFBBB76FCF}">
  <ds:schemaRefs>
    <ds:schemaRef ds:uri="http://schemas.microsoft.com/sharepoint/v3/contenttype/forms"/>
  </ds:schemaRefs>
</ds:datastoreItem>
</file>

<file path=customXml/itemProps2.xml><?xml version="1.0" encoding="utf-8"?>
<ds:datastoreItem xmlns:ds="http://schemas.openxmlformats.org/officeDocument/2006/customXml" ds:itemID="{F960E08F-1403-42AE-9DC0-ADB8004EF99C}">
  <ds:schemaRef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f127e3a1-6a43-4b35-8211-dfdf2a8cacea"/>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CFA8F313-64BE-42B1-A3DA-67846026FA3B}">
  <ds:schemaRefs>
    <ds:schemaRef ds:uri="http://schemas.microsoft.com/office/2006/metadata/longProperties"/>
  </ds:schemaRefs>
</ds:datastoreItem>
</file>

<file path=customXml/itemProps4.xml><?xml version="1.0" encoding="utf-8"?>
<ds:datastoreItem xmlns:ds="http://schemas.openxmlformats.org/officeDocument/2006/customXml" ds:itemID="{F245DA81-BA05-4A2B-8D3D-90CF4E84CD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25</vt:i4>
      </vt:variant>
    </vt:vector>
  </HeadingPairs>
  <TitlesOfParts>
    <vt:vector size="35" baseType="lpstr">
      <vt:lpstr>Menú</vt:lpstr>
      <vt:lpstr>Lista de indicadores</vt:lpstr>
      <vt:lpstr>Introducción de datos</vt:lpstr>
      <vt:lpstr>Información de la subvención</vt:lpstr>
      <vt:lpstr>Financiamiento</vt:lpstr>
      <vt:lpstr>Gestión</vt:lpstr>
      <vt:lpstr>Programatico</vt:lpstr>
      <vt:lpstr>Recomendaciones</vt:lpstr>
      <vt:lpstr>Acciones</vt:lpstr>
      <vt:lpstr>Setup</vt:lpstr>
      <vt:lpstr>Acciones!Área_de_impresión</vt:lpstr>
      <vt:lpstr>Financiamiento!Área_de_impresión</vt:lpstr>
      <vt:lpstr>Gestión!Área_de_impresión</vt:lpstr>
      <vt:lpstr>'Información de la subvención'!Área_de_impresión</vt:lpstr>
      <vt:lpstr>'Introducción de datos'!Área_de_impresión</vt:lpstr>
      <vt:lpstr>Programatico!Área_de_impresión</vt:lpstr>
      <vt:lpstr>Ciudades</vt:lpstr>
      <vt:lpstr>Component</vt:lpstr>
      <vt:lpstr>Countries</vt:lpstr>
      <vt:lpstr>Currency</vt:lpstr>
      <vt:lpstr>LFA</vt:lpstr>
      <vt:lpstr>Medicaments</vt:lpstr>
      <vt:lpstr>PERIOD</vt:lpstr>
      <vt:lpstr>Phase</vt:lpstr>
      <vt:lpstr>PrintA</vt:lpstr>
      <vt:lpstr>PrintDataF</vt:lpstr>
      <vt:lpstr>PrintDataM</vt:lpstr>
      <vt:lpstr>PrintF</vt:lpstr>
      <vt:lpstr>PrintGD</vt:lpstr>
      <vt:lpstr>Acciones!PrintM</vt:lpstr>
      <vt:lpstr>PrintM</vt:lpstr>
      <vt:lpstr>PrintP</vt:lpstr>
      <vt:lpstr>PrintR</vt:lpstr>
      <vt:lpstr>Rating</vt:lpstr>
      <vt:lpstr>Round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CCM_Generic_Dashboard_es</dc:title>
  <dc:subject>&amp;lt;p&amp;gt;Setup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subject>
  <dc:creator>Genc Kastrati</dc:creator>
  <cp:keywords/>
  <dc:description>&amp;lt;p&amp;gt;Setup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description>
  <cp:lastModifiedBy>Lucia Bravo</cp:lastModifiedBy>
  <cp:lastPrinted>2011-01-31T13:36:40Z</cp:lastPrinted>
  <dcterms:created xsi:type="dcterms:W3CDTF">2008-11-20T16:06:13Z</dcterms:created>
  <dcterms:modified xsi:type="dcterms:W3CDTF">2022-01-24T15:13:28Z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ContentTypeId">
    <vt:lpwstr>0x0101004BF1F6075714FF459EA7921B9223C8F9</vt:lpwstr>
  </property>
  <property fmtid="{D5CDD505-2E9C-101B-9397-08002B2CF9AE}" pid="5" name="EktContentLanguage">
    <vt:i4>1033</vt:i4>
  </property>
  <property fmtid="{D5CDD505-2E9C-101B-9397-08002B2CF9AE}" pid="6" name="EktQuickLink">
    <vt:lpwstr>DownloadAsset.aspx?id=10409</vt:lpwstr>
  </property>
  <property fmtid="{D5CDD505-2E9C-101B-9397-08002B2CF9AE}" pid="7" name="EktContentType">
    <vt:i4>101</vt:i4>
  </property>
  <property fmtid="{D5CDD505-2E9C-101B-9397-08002B2CF9AE}" pid="8" name="EktContentSubType">
    <vt:i4>0</vt:i4>
  </property>
  <property fmtid="{D5CDD505-2E9C-101B-9397-08002B2CF9AE}" pid="9" name="EktFolderName">
    <vt:lpwstr/>
  </property>
  <property fmtid="{D5CDD505-2E9C-101B-9397-08002B2CF9AE}" pid="10" name="EktCmsPath">
    <vt:lpwstr>&amp;lt;p&amp;gt;Setup  Acciones  Recomendaciones  Programatico  Gesti n  Financiamiento  Informaci n de la subvenci n  Introducci n de datos  Lista de indicadores  Men   Afganist n  Afganist n  Ciudades  Component  Countries  Countries  Currency  LFA  Medicament</vt:lpwstr>
  </property>
  <property fmtid="{D5CDD505-2E9C-101B-9397-08002B2CF9AE}" pid="11" name="EktExpiryType">
    <vt:i4>1</vt:i4>
  </property>
  <property fmtid="{D5CDD505-2E9C-101B-9397-08002B2CF9AE}" pid="12" name="EktDateCreated">
    <vt:filetime>2011-06-15T08:46:35Z</vt:filetime>
  </property>
  <property fmtid="{D5CDD505-2E9C-101B-9397-08002B2CF9AE}" pid="13" name="EktDateModified">
    <vt:filetime>2011-06-15T08:46:36Z</vt:filetime>
  </property>
  <property fmtid="{D5CDD505-2E9C-101B-9397-08002B2CF9AE}" pid="14" name="EktTaxCategory">
    <vt:lpwstr> #eksep# \Navigation\documents\ccm #eksep# </vt:lpwstr>
  </property>
  <property fmtid="{D5CDD505-2E9C-101B-9397-08002B2CF9AE}" pid="15" name="EktDisabledTaxCategory">
    <vt:lpwstr/>
  </property>
  <property fmtid="{D5CDD505-2E9C-101B-9397-08002B2CF9AE}" pid="16" name="EktCmsSize">
    <vt:i4>856576</vt:i4>
  </property>
  <property fmtid="{D5CDD505-2E9C-101B-9397-08002B2CF9AE}" pid="17" name="EktSearchable">
    <vt:i4>1</vt:i4>
  </property>
  <property fmtid="{D5CDD505-2E9C-101B-9397-08002B2CF9AE}" pid="18" name="EktEDescription">
    <vt:lpwstr>Summary &amp;lt;p&amp;gt;Setup  Acciones  Recomendaciones  Programatico  Gesti n  Financiamiento  Informaci n de la subvenci n  Introducci n de datos  Lista de indicadores  Men   Afganist n  Afganist n  Ciudades  Component  Countries  Countries  Currency  LFA  Me</vt:lpwstr>
  </property>
  <property fmtid="{D5CDD505-2E9C-101B-9397-08002B2CF9AE}" pid="19" name="EktFile_Size">
    <vt:lpwstr>819 KB</vt:lpwstr>
  </property>
  <property fmtid="{D5CDD505-2E9C-101B-9397-08002B2CF9AE}" pid="20" name="EktFile_Type">
    <vt:lpwstr>XLS</vt:lpwstr>
  </property>
  <property fmtid="{D5CDD505-2E9C-101B-9397-08002B2CF9AE}" pid="21" name="ekttaxonomyenabled">
    <vt:i4>1</vt:i4>
  </property>
</Properties>
</file>